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omments2.xml" ContentType="application/vnd.openxmlformats-officedocument.spreadsheetml.comments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7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929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PERSONAL\Desktop\Laura\Enero-Junio\Documentos\Publicación de documentos\RT03\"/>
    </mc:Choice>
  </mc:AlternateContent>
  <xr:revisionPtr revIDLastSave="0" documentId="13_ncr:1_{FDE651F8-AD6B-4920-BE0B-A1245F7CF847}" xr6:coauthVersionLast="46" xr6:coauthVersionMax="46" xr10:uidLastSave="{00000000-0000-0000-0000-000000000000}"/>
  <workbookProtection workbookPassword="E9FB" lockStructure="1"/>
  <bookViews>
    <workbookView xWindow="-120" yWindow="-120" windowWidth="20730" windowHeight="11160" tabRatio="599" xr2:uid="{00000000-000D-0000-FFFF-FFFF00000000}"/>
  </bookViews>
  <sheets>
    <sheet name="PESAS RT0 F25" sheetId="66" r:id="rId1"/>
    <sheet name="H. ESTADÍSTICAS" sheetId="81" r:id="rId2"/>
    <sheet name="Prueba de AD" sheetId="79" r:id="rId3"/>
    <sheet name="Teoria AD" sheetId="80" state="hidden" r:id="rId4"/>
    <sheet name="Datos" sheetId="77" state="hidden" r:id="rId5"/>
    <sheet name="HYK " sheetId="74" state="hidden" r:id="rId6"/>
  </sheets>
  <definedNames>
    <definedName name="_xlnm.Print_Area" localSheetId="0">'PESAS RT0 F25'!$A$1:$AK$265</definedName>
    <definedName name="_xlnm.Print_Area" localSheetId="2">'Prueba de AD'!$A$1:$Z$59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3" i="79" l="1"/>
  <c r="Q10" i="79"/>
  <c r="Q9" i="79"/>
  <c r="B191" i="66" l="1"/>
  <c r="C191" i="66"/>
  <c r="D191" i="66"/>
  <c r="B192" i="66"/>
  <c r="C192" i="66"/>
  <c r="D192" i="66"/>
  <c r="B193" i="66"/>
  <c r="C193" i="66"/>
  <c r="D193" i="66"/>
  <c r="B194" i="66"/>
  <c r="C194" i="66"/>
  <c r="D194" i="66"/>
  <c r="B195" i="66"/>
  <c r="C195" i="66"/>
  <c r="D195" i="66"/>
  <c r="B196" i="66"/>
  <c r="C196" i="66"/>
  <c r="D196" i="66"/>
  <c r="B197" i="66"/>
  <c r="C197" i="66"/>
  <c r="D197" i="66"/>
  <c r="B198" i="66"/>
  <c r="C198" i="66"/>
  <c r="D198" i="66"/>
  <c r="B199" i="66"/>
  <c r="C199" i="66"/>
  <c r="D199" i="66"/>
  <c r="B200" i="66"/>
  <c r="C200" i="66"/>
  <c r="D200" i="66"/>
  <c r="B201" i="66"/>
  <c r="C201" i="66"/>
  <c r="D201" i="66"/>
  <c r="B202" i="66"/>
  <c r="C202" i="66"/>
  <c r="D202" i="66"/>
  <c r="B203" i="66"/>
  <c r="C203" i="66"/>
  <c r="D203" i="66"/>
  <c r="B204" i="66"/>
  <c r="C204" i="66"/>
  <c r="D204" i="66"/>
  <c r="B205" i="66"/>
  <c r="C205" i="66"/>
  <c r="D205" i="66"/>
  <c r="F218" i="66"/>
  <c r="F219" i="66"/>
  <c r="F220" i="66"/>
  <c r="F221" i="66"/>
  <c r="F222" i="66"/>
  <c r="F223" i="66"/>
  <c r="F224" i="66"/>
  <c r="F225" i="66"/>
  <c r="F226" i="66"/>
  <c r="F227" i="66"/>
  <c r="F228" i="66"/>
  <c r="F229" i="66"/>
  <c r="F230" i="66"/>
  <c r="F231" i="66"/>
  <c r="F232" i="66"/>
  <c r="F233" i="66"/>
  <c r="F234" i="66"/>
  <c r="F235" i="66"/>
  <c r="F217" i="66"/>
  <c r="E59" i="66"/>
  <c r="L45" i="66" s="1"/>
  <c r="F59" i="66"/>
  <c r="M35" i="66" s="1"/>
  <c r="U70" i="66" s="1"/>
  <c r="U88" i="66" s="1"/>
  <c r="U107" i="66" s="1"/>
  <c r="M36" i="66"/>
  <c r="U71" i="66" s="1"/>
  <c r="U89" i="66" s="1"/>
  <c r="U108" i="66" s="1"/>
  <c r="M37" i="66"/>
  <c r="M40" i="66"/>
  <c r="U75" i="66" s="1"/>
  <c r="U93" i="66" s="1"/>
  <c r="U112" i="66" s="1"/>
  <c r="M41" i="66"/>
  <c r="M44" i="66"/>
  <c r="M45" i="66"/>
  <c r="M48" i="66"/>
  <c r="D59" i="66"/>
  <c r="K34" i="66" s="1"/>
  <c r="K35" i="66"/>
  <c r="S70" i="66" s="1"/>
  <c r="S88" i="66" s="1"/>
  <c r="S107" i="66" s="1"/>
  <c r="K36" i="66"/>
  <c r="K37" i="66"/>
  <c r="K39" i="66"/>
  <c r="S74" i="66" s="1"/>
  <c r="K40" i="66"/>
  <c r="K41" i="66"/>
  <c r="K43" i="66"/>
  <c r="K44" i="66"/>
  <c r="K45" i="66"/>
  <c r="K46" i="66"/>
  <c r="K47" i="66"/>
  <c r="K48" i="66"/>
  <c r="Q212" i="66"/>
  <c r="Q211" i="66"/>
  <c r="Q210" i="66"/>
  <c r="C255" i="66"/>
  <c r="D255" i="66"/>
  <c r="E255" i="66"/>
  <c r="C257" i="66"/>
  <c r="C258" i="66" s="1"/>
  <c r="H132" i="66"/>
  <c r="W24" i="66"/>
  <c r="H131" i="66"/>
  <c r="V130" i="66" s="1"/>
  <c r="S71" i="66"/>
  <c r="S89" i="66" s="1"/>
  <c r="S108" i="66" s="1"/>
  <c r="S72" i="66"/>
  <c r="S90" i="66" s="1"/>
  <c r="S109" i="66" s="1"/>
  <c r="U72" i="66"/>
  <c r="U90" i="66"/>
  <c r="U109" i="66" s="1"/>
  <c r="S92" i="66"/>
  <c r="S111" i="66" s="1"/>
  <c r="S75" i="66"/>
  <c r="S93" i="66" s="1"/>
  <c r="S112" i="66" s="1"/>
  <c r="S76" i="66"/>
  <c r="S94" i="66" s="1"/>
  <c r="S113" i="66" s="1"/>
  <c r="U76" i="66"/>
  <c r="U94" i="66"/>
  <c r="U113" i="66" s="1"/>
  <c r="S79" i="66"/>
  <c r="S97" i="66" s="1"/>
  <c r="S116" i="66" s="1"/>
  <c r="U80" i="66"/>
  <c r="U98" i="66"/>
  <c r="U117" i="66" s="1"/>
  <c r="S81" i="66"/>
  <c r="S99" i="66" s="1"/>
  <c r="S118" i="66"/>
  <c r="S83" i="66"/>
  <c r="S101" i="66" s="1"/>
  <c r="S120" i="66" s="1"/>
  <c r="K69" i="66"/>
  <c r="D64" i="66"/>
  <c r="K87" i="66"/>
  <c r="K106" i="66" s="1"/>
  <c r="M123" i="66" s="1"/>
  <c r="M69" i="66"/>
  <c r="M87" i="66" s="1"/>
  <c r="M106" i="66" s="1"/>
  <c r="K70" i="66"/>
  <c r="K88" i="66" s="1"/>
  <c r="K107" i="66" s="1"/>
  <c r="M70" i="66"/>
  <c r="M88" i="66" s="1"/>
  <c r="M107" i="66" s="1"/>
  <c r="K71" i="66"/>
  <c r="K89" i="66" s="1"/>
  <c r="K108" i="66" s="1"/>
  <c r="M71" i="66"/>
  <c r="M89" i="66" s="1"/>
  <c r="M108" i="66" s="1"/>
  <c r="K72" i="66"/>
  <c r="K90" i="66" s="1"/>
  <c r="K109" i="66" s="1"/>
  <c r="M72" i="66"/>
  <c r="M90" i="66" s="1"/>
  <c r="M109" i="66" s="1"/>
  <c r="K73" i="66"/>
  <c r="K91" i="66"/>
  <c r="K110" i="66" s="1"/>
  <c r="M73" i="66"/>
  <c r="M91" i="66" s="1"/>
  <c r="M110" i="66" s="1"/>
  <c r="K74" i="66"/>
  <c r="K92" i="66" s="1"/>
  <c r="K111" i="66" s="1"/>
  <c r="M74" i="66"/>
  <c r="M92" i="66"/>
  <c r="M111" i="66" s="1"/>
  <c r="K75" i="66"/>
  <c r="K93" i="66" s="1"/>
  <c r="K112" i="66" s="1"/>
  <c r="M75" i="66"/>
  <c r="M93" i="66" s="1"/>
  <c r="M112" i="66" s="1"/>
  <c r="K76" i="66"/>
  <c r="K94" i="66" s="1"/>
  <c r="K113" i="66" s="1"/>
  <c r="M76" i="66"/>
  <c r="M94" i="66" s="1"/>
  <c r="M113" i="66" s="1"/>
  <c r="K77" i="66"/>
  <c r="K95" i="66" s="1"/>
  <c r="K114" i="66" s="1"/>
  <c r="M77" i="66"/>
  <c r="M95" i="66" s="1"/>
  <c r="M114" i="66" s="1"/>
  <c r="K78" i="66"/>
  <c r="K96" i="66" s="1"/>
  <c r="K115" i="66" s="1"/>
  <c r="M78" i="66"/>
  <c r="M96" i="66" s="1"/>
  <c r="M115" i="66" s="1"/>
  <c r="K79" i="66"/>
  <c r="K97" i="66" s="1"/>
  <c r="K116" i="66" s="1"/>
  <c r="M79" i="66"/>
  <c r="M97" i="66"/>
  <c r="M116" i="66" s="1"/>
  <c r="K80" i="66"/>
  <c r="K98" i="66"/>
  <c r="K117" i="66" s="1"/>
  <c r="M80" i="66"/>
  <c r="M98" i="66" s="1"/>
  <c r="M117" i="66" s="1"/>
  <c r="K81" i="66"/>
  <c r="K99" i="66"/>
  <c r="K118" i="66" s="1"/>
  <c r="M81" i="66"/>
  <c r="M99" i="66"/>
  <c r="M118" i="66" s="1"/>
  <c r="K82" i="66"/>
  <c r="K100" i="66" s="1"/>
  <c r="K119" i="66" s="1"/>
  <c r="M82" i="66"/>
  <c r="M100" i="66" s="1"/>
  <c r="M119" i="66" s="1"/>
  <c r="K83" i="66"/>
  <c r="K101" i="66" s="1"/>
  <c r="K120" i="66"/>
  <c r="M83" i="66"/>
  <c r="M101" i="66" s="1"/>
  <c r="M120" i="66" s="1"/>
  <c r="D69" i="66"/>
  <c r="D87" i="66" s="1"/>
  <c r="D106" i="66" s="1"/>
  <c r="E123" i="66" s="1"/>
  <c r="D131" i="66" s="1"/>
  <c r="E69" i="66"/>
  <c r="E87" i="66" s="1"/>
  <c r="E106" i="66"/>
  <c r="F69" i="66"/>
  <c r="F87" i="66"/>
  <c r="F106" i="66" s="1"/>
  <c r="D70" i="66"/>
  <c r="D88" i="66" s="1"/>
  <c r="D107" i="66" s="1"/>
  <c r="E70" i="66"/>
  <c r="E88" i="66"/>
  <c r="E107" i="66" s="1"/>
  <c r="F70" i="66"/>
  <c r="F88" i="66" s="1"/>
  <c r="F107" i="66" s="1"/>
  <c r="D71" i="66"/>
  <c r="D89" i="66" s="1"/>
  <c r="D108" i="66" s="1"/>
  <c r="E71" i="66"/>
  <c r="E89" i="66" s="1"/>
  <c r="E108" i="66" s="1"/>
  <c r="F71" i="66"/>
  <c r="F89" i="66"/>
  <c r="F108" i="66" s="1"/>
  <c r="D72" i="66"/>
  <c r="D90" i="66"/>
  <c r="D109" i="66" s="1"/>
  <c r="E72" i="66"/>
  <c r="E90" i="66" s="1"/>
  <c r="E109" i="66"/>
  <c r="F72" i="66"/>
  <c r="F90" i="66" s="1"/>
  <c r="F109" i="66" s="1"/>
  <c r="D73" i="66"/>
  <c r="D91" i="66" s="1"/>
  <c r="D110" i="66" s="1"/>
  <c r="E73" i="66"/>
  <c r="E91" i="66" s="1"/>
  <c r="E110" i="66"/>
  <c r="F73" i="66"/>
  <c r="F91" i="66"/>
  <c r="F110" i="66" s="1"/>
  <c r="D74" i="66"/>
  <c r="D92" i="66" s="1"/>
  <c r="D111" i="66" s="1"/>
  <c r="E74" i="66"/>
  <c r="E92" i="66"/>
  <c r="E111" i="66" s="1"/>
  <c r="F74" i="66"/>
  <c r="F92" i="66"/>
  <c r="F111" i="66" s="1"/>
  <c r="D75" i="66"/>
  <c r="D93" i="66" s="1"/>
  <c r="D112" i="66" s="1"/>
  <c r="E75" i="66"/>
  <c r="E93" i="66" s="1"/>
  <c r="E112" i="66" s="1"/>
  <c r="F75" i="66"/>
  <c r="F93" i="66" s="1"/>
  <c r="F112" i="66" s="1"/>
  <c r="D76" i="66"/>
  <c r="D94" i="66" s="1"/>
  <c r="D113" i="66" s="1"/>
  <c r="E76" i="66"/>
  <c r="E94" i="66" s="1"/>
  <c r="E113" i="66" s="1"/>
  <c r="F76" i="66"/>
  <c r="F94" i="66" s="1"/>
  <c r="F113" i="66" s="1"/>
  <c r="D77" i="66"/>
  <c r="D95" i="66"/>
  <c r="D114" i="66" s="1"/>
  <c r="E77" i="66"/>
  <c r="E95" i="66"/>
  <c r="E114" i="66" s="1"/>
  <c r="F77" i="66"/>
  <c r="F95" i="66" s="1"/>
  <c r="F114" i="66" s="1"/>
  <c r="D78" i="66"/>
  <c r="D96" i="66" s="1"/>
  <c r="D115" i="66" s="1"/>
  <c r="E78" i="66"/>
  <c r="E96" i="66" s="1"/>
  <c r="E115" i="66" s="1"/>
  <c r="F78" i="66"/>
  <c r="F96" i="66" s="1"/>
  <c r="F115" i="66" s="1"/>
  <c r="D79" i="66"/>
  <c r="D97" i="66" s="1"/>
  <c r="D116" i="66" s="1"/>
  <c r="E79" i="66"/>
  <c r="E97" i="66" s="1"/>
  <c r="E116" i="66" s="1"/>
  <c r="F79" i="66"/>
  <c r="F97" i="66"/>
  <c r="F116" i="66" s="1"/>
  <c r="D80" i="66"/>
  <c r="D98" i="66"/>
  <c r="D117" i="66" s="1"/>
  <c r="E80" i="66"/>
  <c r="E98" i="66" s="1"/>
  <c r="E117" i="66" s="1"/>
  <c r="F80" i="66"/>
  <c r="F98" i="66" s="1"/>
  <c r="F117" i="66" s="1"/>
  <c r="D81" i="66"/>
  <c r="D99" i="66" s="1"/>
  <c r="D118" i="66" s="1"/>
  <c r="E81" i="66"/>
  <c r="E99" i="66" s="1"/>
  <c r="E118" i="66" s="1"/>
  <c r="F81" i="66"/>
  <c r="F99" i="66"/>
  <c r="F118" i="66" s="1"/>
  <c r="D82" i="66"/>
  <c r="D100" i="66" s="1"/>
  <c r="D119" i="66" s="1"/>
  <c r="E82" i="66"/>
  <c r="E100" i="66"/>
  <c r="E119" i="66" s="1"/>
  <c r="F82" i="66"/>
  <c r="F100" i="66"/>
  <c r="F119" i="66" s="1"/>
  <c r="D83" i="66"/>
  <c r="D101" i="66"/>
  <c r="D120" i="66" s="1"/>
  <c r="E83" i="66"/>
  <c r="E101" i="66"/>
  <c r="E120" i="66" s="1"/>
  <c r="F83" i="66"/>
  <c r="F101" i="66" s="1"/>
  <c r="F120" i="66" s="1"/>
  <c r="W26" i="66"/>
  <c r="AG49" i="66"/>
  <c r="AG50" i="66"/>
  <c r="AG51" i="66"/>
  <c r="AG52" i="66"/>
  <c r="AG53" i="66"/>
  <c r="AG54" i="66"/>
  <c r="AG55" i="66"/>
  <c r="AG56" i="66"/>
  <c r="AG57" i="66"/>
  <c r="AG58" i="66"/>
  <c r="AG59" i="66"/>
  <c r="AG60" i="66"/>
  <c r="AG61" i="66"/>
  <c r="AG62" i="66"/>
  <c r="AG63" i="66"/>
  <c r="AG64" i="66"/>
  <c r="AG65" i="66"/>
  <c r="AG66" i="66"/>
  <c r="AG67" i="66"/>
  <c r="AG68" i="66"/>
  <c r="AG69" i="66"/>
  <c r="AG70" i="66"/>
  <c r="AG71" i="66"/>
  <c r="AG72" i="66"/>
  <c r="AG73" i="66"/>
  <c r="AG74" i="66"/>
  <c r="AG75" i="66"/>
  <c r="AG76" i="66"/>
  <c r="AG77" i="66"/>
  <c r="AG78" i="66"/>
  <c r="E60" i="66"/>
  <c r="F60" i="66"/>
  <c r="F63" i="66" s="1"/>
  <c r="D60" i="66"/>
  <c r="Z193" i="66"/>
  <c r="Y193" i="66"/>
  <c r="X193" i="66"/>
  <c r="AG35" i="66"/>
  <c r="AG36" i="66"/>
  <c r="AG37" i="66"/>
  <c r="AG38" i="66"/>
  <c r="AG39" i="66"/>
  <c r="AG40" i="66"/>
  <c r="AG41" i="66"/>
  <c r="AG42" i="66"/>
  <c r="AG43" i="66"/>
  <c r="AG44" i="66"/>
  <c r="AG45" i="66"/>
  <c r="AG46" i="66"/>
  <c r="AG47" i="66"/>
  <c r="AG48" i="66"/>
  <c r="AG34" i="66"/>
  <c r="F32" i="66"/>
  <c r="E32" i="66"/>
  <c r="D32" i="66"/>
  <c r="D65" i="66"/>
  <c r="D66" i="66" s="1"/>
  <c r="X74" i="66"/>
  <c r="X75" i="66"/>
  <c r="X46" i="66"/>
  <c r="X47" i="66"/>
  <c r="X44" i="66"/>
  <c r="X48" i="66"/>
  <c r="T45" i="66"/>
  <c r="R48" i="66"/>
  <c r="R44" i="66"/>
  <c r="R45" i="66"/>
  <c r="R46" i="66"/>
  <c r="D172" i="66"/>
  <c r="F33" i="66"/>
  <c r="E33" i="66"/>
  <c r="D33" i="66"/>
  <c r="C227" i="74"/>
  <c r="E253" i="66"/>
  <c r="D253" i="66"/>
  <c r="C253" i="66"/>
  <c r="D190" i="66"/>
  <c r="N190" i="66" s="1"/>
  <c r="C190" i="66"/>
  <c r="M190" i="66" s="1"/>
  <c r="B190" i="66"/>
  <c r="L190" i="66" s="1"/>
  <c r="P130" i="66"/>
  <c r="D63" i="66"/>
  <c r="F221" i="74"/>
  <c r="C222" i="74" s="1"/>
  <c r="C223" i="74"/>
  <c r="C224" i="74" s="1"/>
  <c r="F210" i="74"/>
  <c r="E189" i="74"/>
  <c r="F212" i="74"/>
  <c r="F213" i="74" s="1"/>
  <c r="E188" i="74"/>
  <c r="F150" i="74"/>
  <c r="E150" i="74"/>
  <c r="D150" i="74"/>
  <c r="C150" i="74"/>
  <c r="B150" i="74"/>
  <c r="F149" i="74"/>
  <c r="E149" i="74"/>
  <c r="D149" i="74"/>
  <c r="C149" i="74"/>
  <c r="B149" i="74"/>
  <c r="V139" i="74"/>
  <c r="U138" i="74"/>
  <c r="U140" i="74" s="1"/>
  <c r="T138" i="74"/>
  <c r="T140" i="74" s="1"/>
  <c r="S138" i="74"/>
  <c r="S140" i="74" s="1"/>
  <c r="R138" i="74"/>
  <c r="R140" i="74" s="1"/>
  <c r="Q138" i="74"/>
  <c r="Q140" i="74" s="1"/>
  <c r="P138" i="74"/>
  <c r="P140" i="74" s="1"/>
  <c r="O138" i="74"/>
  <c r="O140" i="74" s="1"/>
  <c r="N138" i="74"/>
  <c r="N140" i="74" s="1"/>
  <c r="AA113" i="74"/>
  <c r="Z113" i="74"/>
  <c r="Y113" i="74"/>
  <c r="X113" i="74"/>
  <c r="W113" i="74"/>
  <c r="V113" i="74"/>
  <c r="U113" i="74"/>
  <c r="T113" i="74"/>
  <c r="S113" i="74"/>
  <c r="Q113" i="74"/>
  <c r="P113" i="74"/>
  <c r="O113" i="74"/>
  <c r="N113" i="74"/>
  <c r="M113" i="74"/>
  <c r="L113" i="74"/>
  <c r="K113" i="74"/>
  <c r="J113" i="74"/>
  <c r="I113" i="74"/>
  <c r="H113" i="74"/>
  <c r="G113" i="74"/>
  <c r="F113" i="74"/>
  <c r="E113" i="74"/>
  <c r="D113" i="74"/>
  <c r="C113" i="74"/>
  <c r="B113" i="74"/>
  <c r="AA112" i="74"/>
  <c r="Z112" i="74"/>
  <c r="Y112" i="74"/>
  <c r="X112" i="74"/>
  <c r="W112" i="74"/>
  <c r="V112" i="74"/>
  <c r="U112" i="74"/>
  <c r="T112" i="74"/>
  <c r="S112" i="74"/>
  <c r="Q112" i="74"/>
  <c r="H120" i="74" s="1"/>
  <c r="E146" i="74" s="1"/>
  <c r="P112" i="74"/>
  <c r="O112" i="74"/>
  <c r="N112" i="74"/>
  <c r="M112" i="74"/>
  <c r="L112" i="74"/>
  <c r="K112" i="74"/>
  <c r="J112" i="74"/>
  <c r="I112" i="74"/>
  <c r="H112" i="74"/>
  <c r="G112" i="74"/>
  <c r="D120" i="74" s="1"/>
  <c r="C139" i="74" s="1"/>
  <c r="F112" i="74"/>
  <c r="E112" i="74"/>
  <c r="D112" i="74"/>
  <c r="C112" i="74"/>
  <c r="B120" i="74" s="1"/>
  <c r="B139" i="74" s="1"/>
  <c r="B112" i="74"/>
  <c r="AA111" i="74"/>
  <c r="Z111" i="74"/>
  <c r="Y111" i="74"/>
  <c r="X111" i="74"/>
  <c r="W111" i="74"/>
  <c r="J119" i="74" s="1"/>
  <c r="F138" i="74" s="1"/>
  <c r="V111" i="74"/>
  <c r="U111" i="74"/>
  <c r="T111" i="74"/>
  <c r="S111" i="74"/>
  <c r="Q111" i="74"/>
  <c r="P111" i="74"/>
  <c r="O111" i="74"/>
  <c r="N111" i="74"/>
  <c r="M111" i="74"/>
  <c r="L111" i="74"/>
  <c r="K111" i="74"/>
  <c r="J111" i="74"/>
  <c r="I111" i="74"/>
  <c r="H111" i="74"/>
  <c r="D119" i="74" s="1"/>
  <c r="C138" i="74" s="1"/>
  <c r="G111" i="74"/>
  <c r="F111" i="74"/>
  <c r="E111" i="74"/>
  <c r="D111" i="74"/>
  <c r="C111" i="74"/>
  <c r="B111" i="74"/>
  <c r="B126" i="74" s="1"/>
  <c r="B154" i="74" s="1"/>
  <c r="AA110" i="74"/>
  <c r="Z110" i="74"/>
  <c r="Y110" i="74"/>
  <c r="X110" i="74"/>
  <c r="W110" i="74"/>
  <c r="V110" i="74"/>
  <c r="U110" i="74"/>
  <c r="T110" i="74"/>
  <c r="S110" i="74"/>
  <c r="Q110" i="74"/>
  <c r="P110" i="74"/>
  <c r="O110" i="74"/>
  <c r="N110" i="74"/>
  <c r="M110" i="74"/>
  <c r="L110" i="74"/>
  <c r="K110" i="74"/>
  <c r="J110" i="74"/>
  <c r="I110" i="74"/>
  <c r="H110" i="74"/>
  <c r="G110" i="74"/>
  <c r="F110" i="74"/>
  <c r="E110" i="74"/>
  <c r="D110" i="74"/>
  <c r="C110" i="74"/>
  <c r="B110" i="74"/>
  <c r="K85" i="74"/>
  <c r="K86" i="74" s="1"/>
  <c r="K87" i="74"/>
  <c r="K88" i="74" s="1"/>
  <c r="J85" i="74"/>
  <c r="J86" i="74" s="1"/>
  <c r="J87" i="74"/>
  <c r="J88" i="74" s="1"/>
  <c r="D30" i="74"/>
  <c r="D76" i="74" s="1"/>
  <c r="K47" i="74"/>
  <c r="K48" i="74" s="1"/>
  <c r="K49" i="74" s="1"/>
  <c r="K50" i="74" s="1"/>
  <c r="J47" i="74"/>
  <c r="J48" i="74" s="1"/>
  <c r="J49" i="74" s="1"/>
  <c r="J50" i="74" s="1"/>
  <c r="M46" i="74"/>
  <c r="M47" i="74" s="1"/>
  <c r="M48" i="74" s="1"/>
  <c r="M49" i="74" s="1"/>
  <c r="M50" i="74" s="1"/>
  <c r="L46" i="74"/>
  <c r="L47" i="74"/>
  <c r="L48" i="74" s="1"/>
  <c r="L49" i="74" s="1"/>
  <c r="L50" i="74" s="1"/>
  <c r="F32" i="74"/>
  <c r="F78" i="74" s="1"/>
  <c r="E32" i="74"/>
  <c r="E78" i="74" s="1"/>
  <c r="D32" i="74"/>
  <c r="D78" i="74" s="1"/>
  <c r="C32" i="74"/>
  <c r="C78" i="74" s="1"/>
  <c r="B32" i="74"/>
  <c r="B78" i="74" s="1"/>
  <c r="F31" i="74"/>
  <c r="F77" i="74" s="1"/>
  <c r="F80" i="74" s="1"/>
  <c r="E31" i="74"/>
  <c r="E77" i="74" s="1"/>
  <c r="D31" i="74"/>
  <c r="D77" i="74" s="1"/>
  <c r="C31" i="74"/>
  <c r="C77" i="74" s="1"/>
  <c r="B31" i="74"/>
  <c r="B77" i="74" s="1"/>
  <c r="F30" i="74"/>
  <c r="F76" i="74" s="1"/>
  <c r="E30" i="74"/>
  <c r="E76" i="74" s="1"/>
  <c r="C30" i="74"/>
  <c r="C76" i="74" s="1"/>
  <c r="B30" i="74"/>
  <c r="B76" i="74" s="1"/>
  <c r="F29" i="74"/>
  <c r="F75" i="74" s="1"/>
  <c r="E29" i="74"/>
  <c r="E75" i="74" s="1"/>
  <c r="D29" i="74"/>
  <c r="D75" i="74" s="1"/>
  <c r="C29" i="74"/>
  <c r="C75" i="74" s="1"/>
  <c r="B29" i="74"/>
  <c r="B75" i="74" s="1"/>
  <c r="F25" i="74"/>
  <c r="E25" i="74"/>
  <c r="D25" i="74"/>
  <c r="C25" i="74"/>
  <c r="B25" i="74"/>
  <c r="A25" i="74"/>
  <c r="A32" i="74"/>
  <c r="A49" i="74" s="1"/>
  <c r="A78" i="74" s="1"/>
  <c r="A87" i="74" s="1"/>
  <c r="A113" i="74" s="1"/>
  <c r="A121" i="74" s="1"/>
  <c r="A128" i="74" s="1"/>
  <c r="F24" i="74"/>
  <c r="C228" i="74"/>
  <c r="C229" i="74" s="1"/>
  <c r="E24" i="74"/>
  <c r="D24" i="74"/>
  <c r="C24" i="74"/>
  <c r="C41" i="74" s="1"/>
  <c r="B24" i="74"/>
  <c r="A24" i="74"/>
  <c r="A31" i="74" s="1"/>
  <c r="A48" i="74" s="1"/>
  <c r="A77" i="74" s="1"/>
  <c r="A86" i="74" s="1"/>
  <c r="A112" i="74" s="1"/>
  <c r="A120" i="74" s="1"/>
  <c r="A127" i="74" s="1"/>
  <c r="F23" i="74"/>
  <c r="E23" i="74"/>
  <c r="D23" i="74"/>
  <c r="D41" i="74" s="1"/>
  <c r="C23" i="74"/>
  <c r="B23" i="74"/>
  <c r="A23" i="74"/>
  <c r="A30" i="74"/>
  <c r="A47" i="74" s="1"/>
  <c r="A76" i="74" s="1"/>
  <c r="A85" i="74" s="1"/>
  <c r="A111" i="74" s="1"/>
  <c r="A119" i="74" s="1"/>
  <c r="A126" i="74" s="1"/>
  <c r="F22" i="74"/>
  <c r="E22" i="74"/>
  <c r="D22" i="74"/>
  <c r="C22" i="74"/>
  <c r="B22" i="74"/>
  <c r="A22" i="74"/>
  <c r="A29" i="74" s="1"/>
  <c r="A46" i="74"/>
  <c r="A75" i="74" s="1"/>
  <c r="A84" i="74" s="1"/>
  <c r="A110" i="74" s="1"/>
  <c r="A118" i="74" s="1"/>
  <c r="A125" i="74" s="1"/>
  <c r="A20" i="74"/>
  <c r="A27" i="74" s="1"/>
  <c r="A44" i="74"/>
  <c r="A73" i="74" s="1"/>
  <c r="A82" i="74" s="1"/>
  <c r="A108" i="74" s="1"/>
  <c r="A115" i="74" s="1"/>
  <c r="A124" i="74" s="1"/>
  <c r="J118" i="74"/>
  <c r="F144" i="74"/>
  <c r="F127" i="74"/>
  <c r="D155" i="74" s="1"/>
  <c r="B128" i="74"/>
  <c r="B156" i="74" s="1"/>
  <c r="F121" i="74"/>
  <c r="D140" i="74" s="1"/>
  <c r="H128" i="74"/>
  <c r="E156" i="74" s="1"/>
  <c r="J128" i="74"/>
  <c r="F156" i="74" s="1"/>
  <c r="F128" i="74"/>
  <c r="D156" i="74" s="1"/>
  <c r="C230" i="74"/>
  <c r="F125" i="74"/>
  <c r="D153" i="74" s="1"/>
  <c r="H125" i="74"/>
  <c r="E153" i="74" s="1"/>
  <c r="H119" i="74"/>
  <c r="E138" i="74" s="1"/>
  <c r="F120" i="74"/>
  <c r="D121" i="74"/>
  <c r="H121" i="74"/>
  <c r="E147" i="74" s="1"/>
  <c r="V140" i="74"/>
  <c r="B146" i="74"/>
  <c r="E139" i="74"/>
  <c r="H118" i="74"/>
  <c r="E137" i="74" s="1"/>
  <c r="B125" i="74"/>
  <c r="B153" i="74" s="1"/>
  <c r="B118" i="74"/>
  <c r="B137" i="74" s="1"/>
  <c r="J125" i="74"/>
  <c r="F153" i="74"/>
  <c r="F126" i="74"/>
  <c r="D154" i="74" s="1"/>
  <c r="F119" i="74"/>
  <c r="D145" i="74" s="1"/>
  <c r="D127" i="74"/>
  <c r="C155" i="74" s="1"/>
  <c r="H126" i="74"/>
  <c r="E154" i="74" s="1"/>
  <c r="C80" i="74"/>
  <c r="D118" i="74"/>
  <c r="D125" i="74"/>
  <c r="C153" i="74" s="1"/>
  <c r="F137" i="74"/>
  <c r="F209" i="74"/>
  <c r="F215" i="74"/>
  <c r="D126" i="74"/>
  <c r="C154" i="74" s="1"/>
  <c r="B127" i="74"/>
  <c r="B155" i="74" s="1"/>
  <c r="J127" i="74"/>
  <c r="F155" i="74" s="1"/>
  <c r="J120" i="74"/>
  <c r="F146" i="74" s="1"/>
  <c r="C261" i="66"/>
  <c r="L252" i="66"/>
  <c r="D80" i="74"/>
  <c r="F118" i="74"/>
  <c r="D144" i="74" s="1"/>
  <c r="B119" i="74"/>
  <c r="H127" i="74"/>
  <c r="E155" i="74" s="1"/>
  <c r="D128" i="74"/>
  <c r="C156" i="74" s="1"/>
  <c r="C38" i="74"/>
  <c r="B41" i="74"/>
  <c r="B121" i="74"/>
  <c r="B147" i="74" s="1"/>
  <c r="J121" i="74"/>
  <c r="B38" i="74"/>
  <c r="B48" i="74" s="1"/>
  <c r="F38" i="74"/>
  <c r="V138" i="74"/>
  <c r="D157" i="74"/>
  <c r="D158" i="74" s="1"/>
  <c r="C178" i="74"/>
  <c r="D192" i="74" s="1"/>
  <c r="D147" i="74"/>
  <c r="E140" i="74"/>
  <c r="X40" i="66"/>
  <c r="X39" i="66"/>
  <c r="X41" i="66"/>
  <c r="X71" i="66"/>
  <c r="X70" i="66"/>
  <c r="C259" i="66"/>
  <c r="E145" i="74"/>
  <c r="C254" i="66"/>
  <c r="D171" i="66"/>
  <c r="O168" i="66" s="1"/>
  <c r="B140" i="74"/>
  <c r="D254" i="66"/>
  <c r="E171" i="66"/>
  <c r="P168" i="66" s="1"/>
  <c r="F171" i="66"/>
  <c r="Q168" i="66" s="1"/>
  <c r="N171" i="66" s="1"/>
  <c r="Q171" i="66" s="1"/>
  <c r="E254" i="66"/>
  <c r="F192" i="66"/>
  <c r="X65" i="66"/>
  <c r="D138" i="74"/>
  <c r="B144" i="74"/>
  <c r="B148" i="74" s="1"/>
  <c r="F145" i="74"/>
  <c r="F148" i="74" s="1"/>
  <c r="X67" i="66"/>
  <c r="X34" i="66"/>
  <c r="C157" i="74"/>
  <c r="C158" i="74" s="1"/>
  <c r="X36" i="66"/>
  <c r="F147" i="74"/>
  <c r="F140" i="74"/>
  <c r="X35" i="66"/>
  <c r="B145" i="74"/>
  <c r="B138" i="74"/>
  <c r="X37" i="66"/>
  <c r="C137" i="74"/>
  <c r="C144" i="74"/>
  <c r="C146" i="74"/>
  <c r="C145" i="74"/>
  <c r="E144" i="74"/>
  <c r="E148" i="74" s="1"/>
  <c r="E141" i="74"/>
  <c r="B179" i="74" s="1"/>
  <c r="E191" i="74" s="1"/>
  <c r="F214" i="66"/>
  <c r="F216" i="66"/>
  <c r="F206" i="66"/>
  <c r="F215" i="66"/>
  <c r="F211" i="66"/>
  <c r="F213" i="66"/>
  <c r="F208" i="66"/>
  <c r="F209" i="66"/>
  <c r="F212" i="66"/>
  <c r="F207" i="66"/>
  <c r="F210" i="66"/>
  <c r="T207" i="66"/>
  <c r="U209" i="66" s="1"/>
  <c r="F204" i="66"/>
  <c r="F199" i="66"/>
  <c r="F198" i="66"/>
  <c r="F197" i="66"/>
  <c r="F203" i="66"/>
  <c r="F202" i="66"/>
  <c r="F201" i="66"/>
  <c r="F200" i="66"/>
  <c r="F195" i="66"/>
  <c r="F194" i="66"/>
  <c r="F193" i="66"/>
  <c r="F196" i="66"/>
  <c r="F191" i="66"/>
  <c r="F205" i="66"/>
  <c r="T40" i="66"/>
  <c r="T41" i="66"/>
  <c r="R40" i="66"/>
  <c r="R41" i="66"/>
  <c r="R39" i="66"/>
  <c r="W192" i="66"/>
  <c r="X192" i="66"/>
  <c r="Y192" i="66"/>
  <c r="R36" i="66"/>
  <c r="R34" i="66"/>
  <c r="T35" i="66"/>
  <c r="R37" i="66"/>
  <c r="N169" i="66"/>
  <c r="O169" i="66" s="1"/>
  <c r="T37" i="66"/>
  <c r="R35" i="66"/>
  <c r="D132" i="66"/>
  <c r="N130" i="66" s="1"/>
  <c r="R130" i="66" s="1"/>
  <c r="U194" i="66"/>
  <c r="Z192" i="66"/>
  <c r="S192" i="66"/>
  <c r="Q169" i="66"/>
  <c r="AB193" i="66"/>
  <c r="W193" i="66"/>
  <c r="V193" i="66"/>
  <c r="U193" i="66"/>
  <c r="T193" i="66"/>
  <c r="AA193" i="66"/>
  <c r="I207" i="66"/>
  <c r="N218" i="66"/>
  <c r="V192" i="66" s="1"/>
  <c r="L218" i="66"/>
  <c r="T192" i="66" s="1"/>
  <c r="M218" i="66"/>
  <c r="U192" i="66" s="1"/>
  <c r="AC192" i="66" s="1"/>
  <c r="F61" i="66"/>
  <c r="D61" i="66"/>
  <c r="AH70" i="66"/>
  <c r="AI70" i="66" s="1"/>
  <c r="AH48" i="66"/>
  <c r="AI48" i="66" s="1"/>
  <c r="AH49" i="66"/>
  <c r="AI49" i="66" s="1"/>
  <c r="AH35" i="66"/>
  <c r="AI35" i="66" s="1"/>
  <c r="AH43" i="66"/>
  <c r="AI43" i="66" s="1"/>
  <c r="AH46" i="66"/>
  <c r="AI46" i="66" s="1"/>
  <c r="AH78" i="66"/>
  <c r="AI78" i="66" s="1"/>
  <c r="AH50" i="66"/>
  <c r="AI50" i="66" s="1"/>
  <c r="AH58" i="66"/>
  <c r="AI58" i="66" s="1"/>
  <c r="AH52" i="66"/>
  <c r="AI52" i="66" s="1"/>
  <c r="AH75" i="66"/>
  <c r="AI75" i="66" s="1"/>
  <c r="AH37" i="66"/>
  <c r="AI37" i="66" s="1"/>
  <c r="AH63" i="66"/>
  <c r="AI63" i="66" s="1"/>
  <c r="AH44" i="66"/>
  <c r="AI44" i="66" s="1"/>
  <c r="AH57" i="66"/>
  <c r="AI57" i="66" s="1"/>
  <c r="AH67" i="66"/>
  <c r="AI67" i="66" s="1"/>
  <c r="AH53" i="66"/>
  <c r="AI53" i="66" s="1"/>
  <c r="AH68" i="66"/>
  <c r="AI68" i="66" s="1"/>
  <c r="D176" i="66"/>
  <c r="AH41" i="66"/>
  <c r="AI41" i="66" s="1"/>
  <c r="AH42" i="66"/>
  <c r="AI42" i="66" s="1"/>
  <c r="AH74" i="66"/>
  <c r="AI74" i="66" s="1"/>
  <c r="AH71" i="66"/>
  <c r="AI71" i="66" s="1"/>
  <c r="AH73" i="66"/>
  <c r="AI73" i="66" s="1"/>
  <c r="AH66" i="66"/>
  <c r="AI66" i="66" s="1"/>
  <c r="P132" i="66"/>
  <c r="AH77" i="66"/>
  <c r="AI77" i="66" s="1"/>
  <c r="AH55" i="66"/>
  <c r="AI55" i="66" s="1"/>
  <c r="AH45" i="66"/>
  <c r="AI45" i="66" s="1"/>
  <c r="AH34" i="66"/>
  <c r="AI34" i="66" s="1"/>
  <c r="AH69" i="66"/>
  <c r="AI69" i="66" s="1"/>
  <c r="AH62" i="66"/>
  <c r="AI62" i="66" s="1"/>
  <c r="AH54" i="66"/>
  <c r="AI54" i="66" s="1"/>
  <c r="AH65" i="66"/>
  <c r="AI65" i="66" s="1"/>
  <c r="AH40" i="66"/>
  <c r="AI40" i="66" s="1"/>
  <c r="AH64" i="66"/>
  <c r="AI64" i="66" s="1"/>
  <c r="AH38" i="66"/>
  <c r="AI38" i="66" s="1"/>
  <c r="C256" i="66"/>
  <c r="AH61" i="66"/>
  <c r="AI61" i="66"/>
  <c r="AH59" i="66"/>
  <c r="AI59" i="66"/>
  <c r="AH47" i="66"/>
  <c r="AI47" i="66"/>
  <c r="AH36" i="66"/>
  <c r="AI36" i="66"/>
  <c r="AH60" i="66"/>
  <c r="AI60" i="66"/>
  <c r="AH76" i="66"/>
  <c r="AI76" i="66"/>
  <c r="H133" i="66"/>
  <c r="P131" i="66"/>
  <c r="D175" i="66" s="1"/>
  <c r="AH39" i="66"/>
  <c r="AI39" i="66"/>
  <c r="AH56" i="66"/>
  <c r="AI56" i="66"/>
  <c r="AH51" i="66"/>
  <c r="AI51" i="66"/>
  <c r="AH72" i="66"/>
  <c r="AI72" i="66"/>
  <c r="D62" i="66"/>
  <c r="E176" i="66"/>
  <c r="B157" i="74" l="1"/>
  <c r="B158" i="74" s="1"/>
  <c r="D38" i="74"/>
  <c r="C46" i="74"/>
  <c r="E41" i="74"/>
  <c r="E38" i="74"/>
  <c r="E46" i="74"/>
  <c r="C231" i="74"/>
  <c r="B80" i="74"/>
  <c r="B84" i="74"/>
  <c r="D84" i="74"/>
  <c r="B87" i="74"/>
  <c r="C177" i="74"/>
  <c r="C192" i="74" s="1"/>
  <c r="P169" i="66"/>
  <c r="C49" i="74"/>
  <c r="C47" i="74"/>
  <c r="C260" i="66"/>
  <c r="N170" i="66"/>
  <c r="P170" i="66" s="1"/>
  <c r="F139" i="74"/>
  <c r="F141" i="74" s="1"/>
  <c r="B46" i="74"/>
  <c r="D137" i="74"/>
  <c r="B141" i="74"/>
  <c r="B176" i="74" s="1"/>
  <c r="B191" i="74" s="1"/>
  <c r="C147" i="74"/>
  <c r="C148" i="74" s="1"/>
  <c r="C159" i="74" s="1"/>
  <c r="C160" i="74" s="1"/>
  <c r="C140" i="74"/>
  <c r="C141" i="74" s="1"/>
  <c r="B177" i="74" s="1"/>
  <c r="C191" i="74" s="1"/>
  <c r="D146" i="74"/>
  <c r="D148" i="74" s="1"/>
  <c r="D139" i="74"/>
  <c r="E157" i="74"/>
  <c r="E158" i="74" s="1"/>
  <c r="B47" i="74"/>
  <c r="F41" i="74"/>
  <c r="F49" i="74" s="1"/>
  <c r="C48" i="74"/>
  <c r="E48" i="74"/>
  <c r="B49" i="74"/>
  <c r="C84" i="74"/>
  <c r="E80" i="74"/>
  <c r="E84" i="74"/>
  <c r="B85" i="74"/>
  <c r="E85" i="74"/>
  <c r="D86" i="74"/>
  <c r="X60" i="66"/>
  <c r="T80" i="66"/>
  <c r="T98" i="66" s="1"/>
  <c r="T117" i="66" s="1"/>
  <c r="S45" i="66"/>
  <c r="AC193" i="66"/>
  <c r="U210" i="66" s="1"/>
  <c r="J126" i="74"/>
  <c r="F154" i="74" s="1"/>
  <c r="F157" i="74" s="1"/>
  <c r="F158" i="74" s="1"/>
  <c r="L79" i="66"/>
  <c r="L97" i="66" s="1"/>
  <c r="L116" i="66" s="1"/>
  <c r="S82" i="66"/>
  <c r="S100" i="66" s="1"/>
  <c r="S119" i="66" s="1"/>
  <c r="R47" i="66"/>
  <c r="S80" i="66"/>
  <c r="S98" i="66" s="1"/>
  <c r="S117" i="66" s="1"/>
  <c r="X45" i="66"/>
  <c r="S78" i="66"/>
  <c r="S96" i="66" s="1"/>
  <c r="S115" i="66" s="1"/>
  <c r="X43" i="66"/>
  <c r="R43" i="66"/>
  <c r="U83" i="66"/>
  <c r="U101" i="66" s="1"/>
  <c r="U120" i="66" s="1"/>
  <c r="X78" i="66"/>
  <c r="T48" i="66"/>
  <c r="U79" i="66"/>
  <c r="U97" i="66" s="1"/>
  <c r="U116" i="66" s="1"/>
  <c r="T44" i="66"/>
  <c r="L37" i="66"/>
  <c r="L41" i="66"/>
  <c r="L71" i="66"/>
  <c r="L89" i="66" s="1"/>
  <c r="L108" i="66" s="1"/>
  <c r="L75" i="66"/>
  <c r="L93" i="66" s="1"/>
  <c r="L112" i="66" s="1"/>
  <c r="L83" i="66"/>
  <c r="L101" i="66" s="1"/>
  <c r="L120" i="66" s="1"/>
  <c r="E63" i="66"/>
  <c r="L253" i="66"/>
  <c r="C262" i="66"/>
  <c r="X52" i="66"/>
  <c r="T72" i="66"/>
  <c r="T90" i="66" s="1"/>
  <c r="T109" i="66" s="1"/>
  <c r="S37" i="66"/>
  <c r="N132" i="66"/>
  <c r="E61" i="66"/>
  <c r="Q170" i="66"/>
  <c r="K54" i="66"/>
  <c r="J57" i="66"/>
  <c r="S69" i="66"/>
  <c r="S87" i="66" s="1"/>
  <c r="S106" i="66" s="1"/>
  <c r="T123" i="66" s="1"/>
  <c r="D133" i="66" s="1"/>
  <c r="N131" i="66" s="1"/>
  <c r="R131" i="66" s="1"/>
  <c r="L36" i="66"/>
  <c r="L40" i="66"/>
  <c r="L44" i="66"/>
  <c r="L48" i="66"/>
  <c r="L70" i="66"/>
  <c r="L88" i="66" s="1"/>
  <c r="L107" i="66" s="1"/>
  <c r="L74" i="66"/>
  <c r="L92" i="66" s="1"/>
  <c r="L111" i="66" s="1"/>
  <c r="L78" i="66"/>
  <c r="L96" i="66" s="1"/>
  <c r="L115" i="66" s="1"/>
  <c r="L82" i="66"/>
  <c r="L100" i="66" s="1"/>
  <c r="L119" i="66" s="1"/>
  <c r="L34" i="66"/>
  <c r="L38" i="66"/>
  <c r="L42" i="66"/>
  <c r="L46" i="66"/>
  <c r="L72" i="66"/>
  <c r="L90" i="66" s="1"/>
  <c r="L109" i="66" s="1"/>
  <c r="L76" i="66"/>
  <c r="L94" i="66" s="1"/>
  <c r="L113" i="66" s="1"/>
  <c r="L80" i="66"/>
  <c r="L98" i="66" s="1"/>
  <c r="L117" i="66" s="1"/>
  <c r="L35" i="66"/>
  <c r="L39" i="66"/>
  <c r="L43" i="66"/>
  <c r="L47" i="66"/>
  <c r="L69" i="66"/>
  <c r="L87" i="66" s="1"/>
  <c r="L106" i="66" s="1"/>
  <c r="L73" i="66"/>
  <c r="L91" i="66" s="1"/>
  <c r="L110" i="66" s="1"/>
  <c r="L77" i="66"/>
  <c r="L95" i="66" s="1"/>
  <c r="L114" i="66" s="1"/>
  <c r="L81" i="66"/>
  <c r="L99" i="66" s="1"/>
  <c r="L118" i="66" s="1"/>
  <c r="T36" i="66"/>
  <c r="X66" i="66"/>
  <c r="M46" i="66"/>
  <c r="M42" i="66"/>
  <c r="M38" i="66"/>
  <c r="M34" i="66"/>
  <c r="K42" i="66"/>
  <c r="K38" i="66"/>
  <c r="M47" i="66"/>
  <c r="M43" i="66"/>
  <c r="M39" i="66"/>
  <c r="C180" i="74" l="1"/>
  <c r="F192" i="74" s="1"/>
  <c r="B180" i="74"/>
  <c r="F191" i="74" s="1"/>
  <c r="F159" i="74"/>
  <c r="F160" i="74" s="1"/>
  <c r="D177" i="74"/>
  <c r="C165" i="74"/>
  <c r="AC210" i="66"/>
  <c r="S214" i="66"/>
  <c r="V210" i="66"/>
  <c r="F47" i="74"/>
  <c r="F46" i="74"/>
  <c r="D141" i="74"/>
  <c r="B178" i="74" s="1"/>
  <c r="D191" i="74" s="1"/>
  <c r="D193" i="74" s="1"/>
  <c r="F87" i="74"/>
  <c r="C87" i="74"/>
  <c r="C86" i="74"/>
  <c r="D87" i="74"/>
  <c r="F84" i="74"/>
  <c r="F85" i="74"/>
  <c r="E86" i="74"/>
  <c r="B86" i="74"/>
  <c r="D85" i="74"/>
  <c r="C85" i="74"/>
  <c r="E87" i="74"/>
  <c r="F86" i="74"/>
  <c r="D48" i="74"/>
  <c r="D46" i="74"/>
  <c r="D49" i="74"/>
  <c r="D47" i="74"/>
  <c r="X56" i="66"/>
  <c r="T76" i="66"/>
  <c r="T94" i="66" s="1"/>
  <c r="T113" i="66" s="1"/>
  <c r="S41" i="66"/>
  <c r="C179" i="74"/>
  <c r="E192" i="74" s="1"/>
  <c r="E193" i="74" s="1"/>
  <c r="D159" i="74"/>
  <c r="D160" i="74" s="1"/>
  <c r="F48" i="74"/>
  <c r="E159" i="74"/>
  <c r="E160" i="74" s="1"/>
  <c r="C193" i="74"/>
  <c r="E49" i="74"/>
  <c r="E47" i="74"/>
  <c r="C176" i="74"/>
  <c r="B192" i="74" s="1"/>
  <c r="B159" i="74"/>
  <c r="B160" i="74" s="1"/>
  <c r="U74" i="66"/>
  <c r="U92" i="66" s="1"/>
  <c r="U111" i="66" s="1"/>
  <c r="X69" i="66"/>
  <c r="T39" i="66"/>
  <c r="S77" i="66"/>
  <c r="S95" i="66" s="1"/>
  <c r="S114" i="66" s="1"/>
  <c r="X42" i="66"/>
  <c r="R42" i="66"/>
  <c r="X76" i="66"/>
  <c r="T46" i="66"/>
  <c r="U81" i="66"/>
  <c r="U99" i="66" s="1"/>
  <c r="U118" i="66" s="1"/>
  <c r="T78" i="66"/>
  <c r="T96" i="66" s="1"/>
  <c r="T115" i="66" s="1"/>
  <c r="X58" i="66"/>
  <c r="S43" i="66"/>
  <c r="T73" i="66"/>
  <c r="T91" i="66" s="1"/>
  <c r="T110" i="66" s="1"/>
  <c r="X53" i="66"/>
  <c r="S38" i="66"/>
  <c r="T75" i="66"/>
  <c r="T93" i="66" s="1"/>
  <c r="T112" i="66" s="1"/>
  <c r="X55" i="66"/>
  <c r="S40" i="66"/>
  <c r="U78" i="66"/>
  <c r="U96" i="66" s="1"/>
  <c r="U115" i="66" s="1"/>
  <c r="T43" i="66"/>
  <c r="X73" i="66"/>
  <c r="L57" i="66"/>
  <c r="U69" i="66"/>
  <c r="U87" i="66" s="1"/>
  <c r="U106" i="66" s="1"/>
  <c r="T34" i="66"/>
  <c r="X64" i="66"/>
  <c r="M54" i="66"/>
  <c r="T74" i="66"/>
  <c r="T92" i="66" s="1"/>
  <c r="T111" i="66" s="1"/>
  <c r="X54" i="66"/>
  <c r="S39" i="66"/>
  <c r="L54" i="66"/>
  <c r="T69" i="66"/>
  <c r="T87" i="66" s="1"/>
  <c r="T106" i="66" s="1"/>
  <c r="X49" i="66"/>
  <c r="K57" i="66"/>
  <c r="S34" i="66"/>
  <c r="T71" i="66"/>
  <c r="T89" i="66" s="1"/>
  <c r="T108" i="66" s="1"/>
  <c r="S36" i="66"/>
  <c r="X51" i="66"/>
  <c r="U82" i="66"/>
  <c r="U100" i="66" s="1"/>
  <c r="U119" i="66" s="1"/>
  <c r="X77" i="66"/>
  <c r="T47" i="66"/>
  <c r="X68" i="66"/>
  <c r="U73" i="66"/>
  <c r="U91" i="66" s="1"/>
  <c r="U110" i="66" s="1"/>
  <c r="T38" i="66"/>
  <c r="T70" i="66"/>
  <c r="T88" i="66" s="1"/>
  <c r="T107" i="66" s="1"/>
  <c r="X50" i="66"/>
  <c r="S35" i="66"/>
  <c r="T81" i="66"/>
  <c r="T99" i="66" s="1"/>
  <c r="T118" i="66" s="1"/>
  <c r="X61" i="66"/>
  <c r="S46" i="66"/>
  <c r="T83" i="66"/>
  <c r="T101" i="66" s="1"/>
  <c r="T120" i="66" s="1"/>
  <c r="S48" i="66"/>
  <c r="X63" i="66"/>
  <c r="D173" i="66"/>
  <c r="D174" i="66" s="1"/>
  <c r="T130" i="66"/>
  <c r="S130" i="66"/>
  <c r="U130" i="66" s="1"/>
  <c r="S73" i="66"/>
  <c r="S91" i="66" s="1"/>
  <c r="S110" i="66" s="1"/>
  <c r="R38" i="66"/>
  <c r="X38" i="66"/>
  <c r="T42" i="66"/>
  <c r="X72" i="66"/>
  <c r="U77" i="66"/>
  <c r="U95" i="66" s="1"/>
  <c r="U114" i="66" s="1"/>
  <c r="T82" i="66"/>
  <c r="T100" i="66" s="1"/>
  <c r="T119" i="66" s="1"/>
  <c r="S47" i="66"/>
  <c r="X62" i="66"/>
  <c r="T77" i="66"/>
  <c r="T95" i="66" s="1"/>
  <c r="T114" i="66" s="1"/>
  <c r="S42" i="66"/>
  <c r="X57" i="66"/>
  <c r="T79" i="66"/>
  <c r="T97" i="66" s="1"/>
  <c r="T116" i="66" s="1"/>
  <c r="X59" i="66"/>
  <c r="S44" i="66"/>
  <c r="D134" i="66"/>
  <c r="M253" i="66"/>
  <c r="J259" i="66"/>
  <c r="Q14" i="79"/>
  <c r="Q15" i="79" s="1"/>
  <c r="P18" i="79" s="1"/>
  <c r="D179" i="74" l="1"/>
  <c r="E165" i="74"/>
  <c r="B165" i="74"/>
  <c r="D176" i="74"/>
  <c r="F165" i="74"/>
  <c r="D180" i="74"/>
  <c r="D178" i="74"/>
  <c r="D165" i="74"/>
  <c r="B194" i="74"/>
  <c r="B193" i="74"/>
  <c r="F193" i="74"/>
  <c r="D177" i="66"/>
  <c r="O182" i="66"/>
  <c r="D180" i="66"/>
  <c r="AJ74" i="66"/>
  <c r="AJ73" i="66"/>
  <c r="AJ59" i="66"/>
  <c r="AJ75" i="66"/>
  <c r="AJ56" i="66"/>
  <c r="AJ51" i="66"/>
  <c r="AJ43" i="66"/>
  <c r="AJ42" i="66"/>
  <c r="AJ66" i="66"/>
  <c r="AJ39" i="66"/>
  <c r="AJ46" i="66"/>
  <c r="AJ70" i="66"/>
  <c r="AJ34" i="66"/>
  <c r="AJ64" i="66"/>
  <c r="AJ44" i="66"/>
  <c r="AJ77" i="66"/>
  <c r="AJ58" i="66"/>
  <c r="AJ37" i="66"/>
  <c r="AJ54" i="66"/>
  <c r="AJ57" i="66"/>
  <c r="AJ60" i="66"/>
  <c r="AJ62" i="66"/>
  <c r="AJ52" i="66"/>
  <c r="AJ41" i="66"/>
  <c r="AJ50" i="66"/>
  <c r="AJ45" i="66"/>
  <c r="AJ78" i="66"/>
  <c r="AJ47" i="66"/>
  <c r="AJ55" i="66"/>
  <c r="AJ48" i="66"/>
  <c r="AJ40" i="66"/>
  <c r="AJ53" i="66"/>
  <c r="AJ76" i="66"/>
  <c r="AJ65" i="66"/>
  <c r="AJ35" i="66"/>
  <c r="AJ72" i="66"/>
  <c r="AJ71" i="66"/>
  <c r="AJ49" i="66"/>
  <c r="AJ61" i="66"/>
  <c r="AJ68" i="66"/>
  <c r="AJ69" i="66"/>
  <c r="AJ63" i="66"/>
  <c r="AJ36" i="66"/>
  <c r="AJ67" i="66"/>
  <c r="AJ38" i="66"/>
  <c r="O175" i="66"/>
  <c r="F195" i="74" l="1"/>
  <c r="C195" i="74"/>
  <c r="E195" i="74"/>
  <c r="D195" i="74"/>
  <c r="B195" i="74"/>
  <c r="B166" i="74"/>
  <c r="F169" i="66"/>
  <c r="E170" i="66"/>
  <c r="E169" i="66"/>
  <c r="F170" i="66"/>
  <c r="D169" i="66"/>
  <c r="D170" i="66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Arcesio Velandia Carreño</author>
    <author>Javier</author>
    <author>Elvis Aguirre Romero</author>
    <author>Gerente</author>
    <author>Usuario de Windows</author>
    <author>Oscar J. Niño G.</author>
  </authors>
  <commentList>
    <comment ref="T24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
Numero de datos totales de cada metrólogo x 3</t>
        </r>
      </text>
    </comment>
    <comment ref="T25" authorId="0" shapeId="0" xr:uid="{00000000-0006-0000-0000-000002000000}">
      <text>
        <r>
          <rPr>
            <sz val="9"/>
            <color indexed="81"/>
            <rFont val="Tahoma"/>
            <family val="2"/>
          </rPr>
          <t xml:space="preserve">
Numero de metrologos</t>
        </r>
      </text>
    </comment>
    <comment ref="T26" authorId="0" shapeId="0" xr:uid="{00000000-0006-0000-0000-000003000000}">
      <text>
        <r>
          <rPr>
            <sz val="9"/>
            <color indexed="81"/>
            <rFont val="Tahoma"/>
            <family val="2"/>
          </rPr>
          <t>numero de datos por metrólogo</t>
        </r>
      </text>
    </comment>
    <comment ref="AF32" authorId="1" shapeId="0" xr:uid="{00000000-0006-0000-0000-000004000000}">
      <text>
        <r>
          <rPr>
            <sz val="9"/>
            <color indexed="81"/>
            <rFont val="Tahoma"/>
            <family val="2"/>
          </rPr>
          <t xml:space="preserve">Ajustar el numero de datos dependiendo de los participantes y numero de datos
</t>
        </r>
      </text>
    </comment>
    <comment ref="X33" authorId="1" shapeId="0" xr:uid="{00000000-0006-0000-0000-000005000000}">
      <text>
        <r>
          <rPr>
            <sz val="9"/>
            <color indexed="81"/>
            <rFont val="Tahoma"/>
            <family val="2"/>
          </rPr>
          <t xml:space="preserve">Ajustar el numero de datos dependiendo de los participantes y numero de datos
</t>
        </r>
      </text>
    </comment>
    <comment ref="Y33" authorId="1" shapeId="0" xr:uid="{00000000-0006-0000-0000-000006000000}">
      <text>
        <r>
          <rPr>
            <sz val="9"/>
            <color indexed="81"/>
            <rFont val="Tahoma"/>
            <family val="2"/>
          </rPr>
          <t xml:space="preserve">Se deben ordenar de menor a mayor para poder establecer linealidad
</t>
        </r>
      </text>
    </comment>
    <comment ref="AI33" authorId="1" shapeId="0" xr:uid="{00000000-0006-0000-0000-000007000000}">
      <text>
        <r>
          <rPr>
            <sz val="9"/>
            <color indexed="81"/>
            <rFont val="Tahoma"/>
            <family val="2"/>
          </rPr>
          <t xml:space="preserve">USAR INV.NORM.ESTAND
</t>
        </r>
      </text>
    </comment>
    <comment ref="AG34" authorId="1" shapeId="0" xr:uid="{00000000-0006-0000-0000-000008000000}">
      <text>
        <r>
          <rPr>
            <b/>
            <sz val="9"/>
            <color indexed="81"/>
            <rFont val="Tahoma"/>
            <family val="2"/>
          </rPr>
          <t>Valores de los residuos ordenados Valor - Media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C63" authorId="2" shapeId="0" xr:uid="{00000000-0006-0000-0000-000009000000}">
      <text>
        <r>
          <rPr>
            <b/>
            <sz val="9"/>
            <color indexed="81"/>
            <rFont val="Tahoma"/>
            <family val="2"/>
          </rPr>
          <t>CV= COEFICIENTE DE VARIACIÓN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86" authorId="3" shapeId="0" xr:uid="{00000000-0006-0000-0000-00000A000000}">
      <text>
        <r>
          <rPr>
            <b/>
            <sz val="9"/>
            <color indexed="81"/>
            <rFont val="Tahoma"/>
            <family val="2"/>
          </rPr>
          <t xml:space="preserve">Valor medido de cada analista -(promedio de promedios)
</t>
        </r>
      </text>
    </comment>
    <comment ref="E123" authorId="1" shapeId="0" xr:uid="{00000000-0006-0000-0000-00000B000000}">
      <text>
        <r>
          <rPr>
            <sz val="9"/>
            <color indexed="81"/>
            <rFont val="Tahoma"/>
            <family val="2"/>
          </rPr>
          <t xml:space="preserve">Ajustar a la media de todos los datos si se incrementa o decrementa k y n varia </t>
        </r>
      </text>
    </comment>
    <comment ref="M123" authorId="1" shapeId="0" xr:uid="{00000000-0006-0000-0000-00000C000000}">
      <text>
        <r>
          <rPr>
            <sz val="9"/>
            <color indexed="81"/>
            <rFont val="Tahoma"/>
            <family val="2"/>
          </rPr>
          <t xml:space="preserve">Ajustar a la media de todos los datos si se incrementa o decrementa k y n varia 
</t>
        </r>
      </text>
    </comment>
    <comment ref="T123" authorId="1" shapeId="0" xr:uid="{00000000-0006-0000-0000-00000D000000}">
      <text>
        <r>
          <rPr>
            <sz val="9"/>
            <color indexed="81"/>
            <rFont val="Tahoma"/>
            <family val="2"/>
          </rPr>
          <t xml:space="preserve">Ajustar a la media de todos los datos si se incrementa o decrementa k y n varia 
</t>
        </r>
      </text>
    </comment>
    <comment ref="G131" authorId="1" shapeId="0" xr:uid="{00000000-0006-0000-0000-00000E000000}">
      <text>
        <r>
          <rPr>
            <sz val="9"/>
            <color indexed="81"/>
            <rFont val="Tahoma"/>
            <family val="2"/>
          </rPr>
          <t xml:space="preserve">n = numero de datos totales
</t>
        </r>
      </text>
    </comment>
    <comment ref="G132" authorId="1" shapeId="0" xr:uid="{00000000-0006-0000-0000-00000F000000}">
      <text>
        <r>
          <rPr>
            <sz val="9"/>
            <color indexed="81"/>
            <rFont val="Tahoma"/>
            <family val="2"/>
          </rPr>
          <t>k Numero de participantes</t>
        </r>
      </text>
    </comment>
    <comment ref="H132" authorId="1" shapeId="0" xr:uid="{00000000-0006-0000-0000-000010000000}">
      <text>
        <r>
          <rPr>
            <sz val="9"/>
            <color indexed="81"/>
            <rFont val="Tahoma"/>
            <family val="2"/>
          </rPr>
          <t>Numerador</t>
        </r>
      </text>
    </comment>
    <comment ref="H133" authorId="1" shapeId="0" xr:uid="{00000000-0006-0000-0000-000011000000}">
      <text>
        <r>
          <rPr>
            <sz val="9"/>
            <color indexed="81"/>
            <rFont val="Tahoma"/>
            <family val="2"/>
          </rPr>
          <t>Denominador</t>
        </r>
      </text>
    </comment>
    <comment ref="C173" authorId="3" shapeId="0" xr:uid="{00000000-0006-0000-0000-000012000000}">
      <text>
        <r>
          <rPr>
            <b/>
            <sz val="9"/>
            <color indexed="81"/>
            <rFont val="Tahoma"/>
            <family val="2"/>
          </rPr>
          <t xml:space="preserve">JAVIER. </t>
        </r>
        <r>
          <rPr>
            <sz val="9"/>
            <color indexed="81"/>
            <rFont val="Tahoma"/>
            <family val="2"/>
          </rPr>
          <t xml:space="preserve">Origen de las variaciones dentro de los grupos
</t>
        </r>
      </text>
    </comment>
    <comment ref="O175" authorId="1" shapeId="0" xr:uid="{00000000-0006-0000-0000-000013000000}">
      <text>
        <r>
          <rPr>
            <sz val="9"/>
            <color indexed="81"/>
            <rFont val="Tahoma"/>
            <family val="2"/>
          </rPr>
          <t>Modificar la formula de acuerdo al numero de k (participantes)
Formula LSD ni participantes numero de datos</t>
        </r>
      </text>
    </comment>
    <comment ref="D176" authorId="4" shapeId="0" xr:uid="{00000000-0006-0000-0000-000014000000}">
      <text>
        <r>
          <rPr>
            <sz val="9"/>
            <color indexed="81"/>
            <rFont val="Tahoma"/>
            <family val="2"/>
          </rPr>
          <t xml:space="preserve">
Obtenido ejercicio</t>
        </r>
      </text>
    </comment>
    <comment ref="E176" authorId="1" shapeId="0" xr:uid="{00000000-0006-0000-0000-000015000000}">
      <text>
        <r>
          <rPr>
            <sz val="9"/>
            <color indexed="81"/>
            <rFont val="Tahoma"/>
            <family val="2"/>
          </rPr>
          <t>n-1 grados de libertad
con α/2 =0,025</t>
        </r>
      </text>
    </comment>
    <comment ref="D179" authorId="4" shapeId="0" xr:uid="{00000000-0006-0000-0000-000016000000}">
      <text>
        <r>
          <rPr>
            <sz val="9"/>
            <color indexed="81"/>
            <rFont val="Tahoma"/>
            <family val="2"/>
          </rPr>
          <t xml:space="preserve">
Dado por norma
</t>
        </r>
      </text>
    </comment>
    <comment ref="O183" authorId="5" shapeId="0" xr:uid="{00000000-0006-0000-0000-000017000000}">
      <text>
        <r>
          <rPr>
            <sz val="9"/>
            <color indexed="81"/>
            <rFont val="Tahoma"/>
            <family val="2"/>
          </rPr>
          <t xml:space="preserve">
Ajustarlo según la norma
</t>
        </r>
      </text>
    </comment>
    <comment ref="H191" authorId="3" shapeId="0" xr:uid="{00000000-0006-0000-0000-000018000000}">
      <text>
        <r>
          <rPr>
            <b/>
            <sz val="9"/>
            <color indexed="81"/>
            <rFont val="Tahoma"/>
            <family val="2"/>
          </rPr>
          <t xml:space="preserve">Se debe modificar de acuerdo al numero de repeticiones de forma manual
</t>
        </r>
      </text>
    </comment>
    <comment ref="L191" authorId="3" shapeId="0" xr:uid="{00000000-0006-0000-0000-000019000000}">
      <text>
        <r>
          <rPr>
            <b/>
            <sz val="9"/>
            <color indexed="81"/>
            <rFont val="Tahoma"/>
            <family val="2"/>
          </rPr>
          <t xml:space="preserve">Realizar el cambio maula de la matriz original por los datos calculados
</t>
        </r>
      </text>
    </comment>
    <comment ref="B258" authorId="1" shapeId="0" xr:uid="{00000000-0006-0000-0000-00001A000000}">
      <text>
        <r>
          <rPr>
            <sz val="9"/>
            <color indexed="81"/>
            <rFont val="Tahoma"/>
            <family val="2"/>
          </rPr>
          <t>Ajustar formula depende del numero de participantes</t>
        </r>
      </text>
    </comment>
    <comment ref="B259" authorId="1" shapeId="0" xr:uid="{00000000-0006-0000-0000-00001B000000}">
      <text>
        <r>
          <rPr>
            <sz val="9"/>
            <color indexed="81"/>
            <rFont val="Tahoma"/>
            <family val="2"/>
          </rPr>
          <t>Ajustar formula depende del numero de participantes</t>
        </r>
      </text>
    </comment>
    <comment ref="C261" authorId="1" shapeId="0" xr:uid="{00000000-0006-0000-0000-00001C000000}">
      <text>
        <r>
          <rPr>
            <sz val="9"/>
            <color indexed="81"/>
            <rFont val="Tahoma"/>
            <family val="2"/>
          </rPr>
          <t xml:space="preserve">Buscar en la tabla Xo^2 con alfa 0,05 para k-1 grados de libertad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Gerente</author>
    <author>Autor</author>
  </authors>
  <commentList>
    <comment ref="J44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los limites viene de las tablas de consistencia h y k mandel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A149" authorId="0" shapeId="0" xr:uid="{00000000-0006-0000-0500-000002000000}">
      <text>
        <r>
          <rPr>
            <sz val="9"/>
            <color indexed="81"/>
            <rFont val="Tahoma"/>
            <family val="2"/>
          </rPr>
          <t xml:space="preserve">Tener en cuenta que si hay datos que se deban descartar el numero de repeticiones varia
</t>
        </r>
      </text>
    </comment>
    <comment ref="A158" authorId="0" shapeId="0" xr:uid="{00000000-0006-0000-0500-000003000000}">
      <text>
        <r>
          <rPr>
            <sz val="9"/>
            <color indexed="81"/>
            <rFont val="Tahoma"/>
            <family val="2"/>
          </rPr>
          <t>p es el numero de metrologos  o laboratorios</t>
        </r>
      </text>
    </comment>
    <comment ref="B175" authorId="0" shapeId="0" xr:uid="{00000000-0006-0000-0500-000004000000}">
      <text>
        <r>
          <rPr>
            <sz val="9"/>
            <color indexed="81"/>
            <rFont val="Tahoma"/>
            <family val="2"/>
          </rPr>
          <t xml:space="preserve">T1/T3
</t>
        </r>
      </text>
    </comment>
    <comment ref="F211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Viene de la regresion lineal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12" authorId="1" shapeId="0" xr:uid="{00000000-0006-0000-0500-000006000000}">
      <text>
        <r>
          <rPr>
            <b/>
            <sz val="9"/>
            <color indexed="81"/>
            <rFont val="Tahoma"/>
            <family val="2"/>
          </rPr>
          <t xml:space="preserve">numero de niveles
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F221" authorId="0" shapeId="0" xr:uid="{00000000-0006-0000-0500-000007000000}">
      <text>
        <r>
          <rPr>
            <sz val="9"/>
            <color indexed="81"/>
            <rFont val="Tahoma"/>
            <family val="2"/>
          </rPr>
          <t>Son los numeros de mediciones o repeticiones efcetuadas por metrologo</t>
        </r>
      </text>
    </comment>
    <comment ref="B227" authorId="0" shapeId="0" xr:uid="{00000000-0006-0000-0500-000008000000}">
      <text>
        <r>
          <rPr>
            <sz val="9"/>
            <color indexed="81"/>
            <rFont val="Tahoma"/>
            <family val="2"/>
          </rPr>
          <t>Ingreso de Dato de ls tomados en proceso
en cualquiera de los niveles</t>
        </r>
      </text>
    </comment>
    <comment ref="C230" authorId="1" shapeId="0" xr:uid="{00000000-0006-0000-0500-000009000000}">
      <text>
        <r>
          <rPr>
            <sz val="9"/>
            <color indexed="81"/>
            <rFont val="Tahoma"/>
            <family val="2"/>
          </rPr>
          <t xml:space="preserve">aplica la formula que sale de la regresion el calculo de la linea
</t>
        </r>
      </text>
    </comment>
  </commentList>
</comments>
</file>

<file path=xl/sharedStrings.xml><?xml version="1.0" encoding="utf-8"?>
<sst xmlns="http://schemas.openxmlformats.org/spreadsheetml/2006/main" count="337" uniqueCount="229">
  <si>
    <t>CV</t>
  </si>
  <si>
    <t>t</t>
  </si>
  <si>
    <t>Nivel de confianza 95%</t>
  </si>
  <si>
    <t>Chi CD</t>
  </si>
  <si>
    <t>H0</t>
  </si>
  <si>
    <t>No existen diferencias significativas entre grupos</t>
  </si>
  <si>
    <t>H1</t>
  </si>
  <si>
    <t>Existen diferencias significativas entre grupos</t>
  </si>
  <si>
    <t>M1</t>
  </si>
  <si>
    <t>M2</t>
  </si>
  <si>
    <t>M3</t>
  </si>
  <si>
    <t>RESIDUOS (Valor Dato Media)</t>
  </si>
  <si>
    <t>Media</t>
  </si>
  <si>
    <t>Sumatoria</t>
  </si>
  <si>
    <t>DESV</t>
  </si>
  <si>
    <t>u TIPO A</t>
  </si>
  <si>
    <t>Gran Media</t>
  </si>
  <si>
    <t>Inter</t>
  </si>
  <si>
    <t xml:space="preserve"> =</t>
  </si>
  <si>
    <t xml:space="preserve"> +</t>
  </si>
  <si>
    <t>Sumatorias</t>
  </si>
  <si>
    <t>Variabilidad</t>
  </si>
  <si>
    <t xml:space="preserve">Valor </t>
  </si>
  <si>
    <t>Grado libertad</t>
  </si>
  <si>
    <t>TABLA DE ANALISIS DE VARIANZA</t>
  </si>
  <si>
    <t>Total</t>
  </si>
  <si>
    <t>VT</t>
  </si>
  <si>
    <t>n-1</t>
  </si>
  <si>
    <t>Fuentes</t>
  </si>
  <si>
    <t>Suma de Cuadrados</t>
  </si>
  <si>
    <t>Varianzas</t>
  </si>
  <si>
    <t>sR</t>
  </si>
  <si>
    <t>Medias</t>
  </si>
  <si>
    <t>VE</t>
  </si>
  <si>
    <t>K-1</t>
  </si>
  <si>
    <t>Residual</t>
  </si>
  <si>
    <t>VNE</t>
  </si>
  <si>
    <t>n-K</t>
  </si>
  <si>
    <t>Tratamientos</t>
  </si>
  <si>
    <t>Lim Sup</t>
  </si>
  <si>
    <t>s^2R</t>
  </si>
  <si>
    <t>LSD</t>
  </si>
  <si>
    <t>s R</t>
  </si>
  <si>
    <t>RAIZ(n) Residual</t>
  </si>
  <si>
    <t>t alfa/2</t>
  </si>
  <si>
    <t>n</t>
  </si>
  <si>
    <t>k</t>
  </si>
  <si>
    <t>Empates - Orden</t>
  </si>
  <si>
    <t>Datos X k</t>
  </si>
  <si>
    <t>Prueba de Kruskall - Wallis para determinar procedencia de datos - Empates y concordancia de lecturas</t>
  </si>
  <si>
    <t xml:space="preserve">No hay evidencia que demuestre que existen diferencias significativas entre los datos obtenidos por los analistas </t>
  </si>
  <si>
    <t>Por norma</t>
  </si>
  <si>
    <t>Con t solicitado por norma de ref.</t>
  </si>
  <si>
    <t>No Aplica</t>
  </si>
  <si>
    <t>Diferencia critica norma</t>
  </si>
  <si>
    <t>Diferencia critica ejercicio</t>
  </si>
  <si>
    <t>Para el ejercicio</t>
  </si>
  <si>
    <t>Student</t>
  </si>
  <si>
    <t>Diferencia de medias [Ȳ1 - Ȳ2]</t>
  </si>
  <si>
    <t>ANALISIS DE VARIANZA DE UN FACTOR - EXCEL</t>
  </si>
  <si>
    <t>Datos por analista</t>
  </si>
  <si>
    <t>Numero de niveles</t>
  </si>
  <si>
    <t>Numero de datos</t>
  </si>
  <si>
    <t>DETERMINAR SI LAS MEDIAS SON IGUALES</t>
  </si>
  <si>
    <t>M4</t>
  </si>
  <si>
    <t xml:space="preserve">Residual </t>
  </si>
  <si>
    <t>t=</t>
  </si>
  <si>
    <t>Numero de veces que se repite un valor</t>
  </si>
  <si>
    <t>k=</t>
  </si>
  <si>
    <t>Numero de grupos participantes</t>
  </si>
  <si>
    <t>gl=</t>
  </si>
  <si>
    <t>k-1</t>
  </si>
  <si>
    <t>(6-1)</t>
  </si>
  <si>
    <t>Valores por Tabla</t>
  </si>
  <si>
    <t>Valor Normal*sR</t>
  </si>
  <si>
    <t>GRAFICA DE LINEALIDAD</t>
  </si>
  <si>
    <t>media</t>
  </si>
  <si>
    <t>varianza</t>
  </si>
  <si>
    <t>Xo^2</t>
  </si>
  <si>
    <t>Xo^2 Tablas</t>
  </si>
  <si>
    <t>P valor</t>
  </si>
  <si>
    <t>No existen diferencias significativas entre la varianza de los analistas del  grupo</t>
  </si>
  <si>
    <t>Existen diferencias significativas entre las varianzas de los analistas del grupo</t>
  </si>
  <si>
    <t>Numero de Repeticiones</t>
  </si>
  <si>
    <t>Numero de Metrologos</t>
  </si>
  <si>
    <t>M5</t>
  </si>
  <si>
    <t>Metrologo</t>
  </si>
  <si>
    <t>nivel j</t>
  </si>
  <si>
    <t>Calculo de promedios entre celdas</t>
  </si>
  <si>
    <t>Diferencias absolutas</t>
  </si>
  <si>
    <t>Promedio de promedios</t>
  </si>
  <si>
    <t>desviacion estandar de promedios</t>
  </si>
  <si>
    <t>Negativo 1%</t>
  </si>
  <si>
    <t>Negativo 5%</t>
  </si>
  <si>
    <t>REALIZAR GRAFICO</t>
  </si>
  <si>
    <t>Consistencia estadistica dentro de los Metrologos k</t>
  </si>
  <si>
    <t>Calculo de m Sl y Sr</t>
  </si>
  <si>
    <t>Promedios</t>
  </si>
  <si>
    <t>Repeticiones</t>
  </si>
  <si>
    <t>Calculo Desviacion estandar</t>
  </si>
  <si>
    <t>T1</t>
  </si>
  <si>
    <t>T2</t>
  </si>
  <si>
    <t>T3</t>
  </si>
  <si>
    <t>T4</t>
  </si>
  <si>
    <t>T5</t>
  </si>
  <si>
    <t>s2r</t>
  </si>
  <si>
    <t>s2L</t>
  </si>
  <si>
    <t>INCERTIDUMRE DEL METODO</t>
  </si>
  <si>
    <t>σpt</t>
  </si>
  <si>
    <t>Nivel</t>
  </si>
  <si>
    <t>m</t>
  </si>
  <si>
    <t>sr</t>
  </si>
  <si>
    <t>De la Tabla  pareciera que las desviaciones estándar tienden a aumentar, al aumentar m por lo que probablemente sea permisible establecer alguna relación funcional.</t>
  </si>
  <si>
    <t>Relación 1: s= bm</t>
  </si>
  <si>
    <t>Numero de  metrologos</t>
  </si>
  <si>
    <t>sj/m</t>
  </si>
  <si>
    <t>b</t>
  </si>
  <si>
    <t>Verificación de coeficiente de correlación.</t>
  </si>
  <si>
    <t>MILLER</t>
  </si>
  <si>
    <t xml:space="preserve">Correlacion </t>
  </si>
  <si>
    <t>Coeficiente de Correlacion Miller Calculado</t>
  </si>
  <si>
    <t>tc</t>
  </si>
  <si>
    <t>r</t>
  </si>
  <si>
    <t>Valor R2 de la regresion</t>
  </si>
  <si>
    <t>R2</t>
  </si>
  <si>
    <t>Numero de Niveles de recorrido</t>
  </si>
  <si>
    <t>Coeficiente de Correlacion Miller Tablas (tabla t studentes dos colas )</t>
  </si>
  <si>
    <t>t tablas</t>
  </si>
  <si>
    <t>si tc &gt; t es satisfactorio.</t>
  </si>
  <si>
    <t>Dictamen</t>
  </si>
  <si>
    <t>Cálculo del factor k.</t>
  </si>
  <si>
    <t>r = k*sr</t>
  </si>
  <si>
    <t>Para 30 rep. k = 2,8</t>
  </si>
  <si>
    <t>r = 2,8 sr</t>
  </si>
  <si>
    <t>Para menos repeticiones:</t>
  </si>
  <si>
    <t>k =t(95,n-1)*raiz(2)</t>
  </si>
  <si>
    <t>En nuestro caso realizamos X repeticiones</t>
  </si>
  <si>
    <t xml:space="preserve">n = </t>
  </si>
  <si>
    <t>Uso de la repetibilidad.</t>
  </si>
  <si>
    <t>Prueba duplicada de repetibilidad.</t>
  </si>
  <si>
    <t>Y1</t>
  </si>
  <si>
    <t>Y2</t>
  </si>
  <si>
    <t>Dif.</t>
  </si>
  <si>
    <t>si Dif.≤r</t>
  </si>
  <si>
    <t>Limites para 4  metrologos</t>
  </si>
  <si>
    <t>Consistencia estadistica dentro del laboratorio</t>
  </si>
  <si>
    <t>Repetibilidad dentro del intrevalo de calibracion  sij</t>
  </si>
  <si>
    <r>
      <t xml:space="preserve">sr=0,07804 </t>
    </r>
    <r>
      <rPr>
        <sz val="11"/>
        <color theme="1"/>
        <rFont val="Calibri"/>
        <family val="2"/>
      </rPr>
      <t>µ</t>
    </r>
    <r>
      <rPr>
        <sz val="11"/>
        <color theme="1"/>
        <rFont val="Calibri"/>
        <family val="2"/>
        <scheme val="minor"/>
      </rPr>
      <t>m</t>
    </r>
  </si>
  <si>
    <r>
      <t xml:space="preserve">Consistencia estadistica entre metrologos     </t>
    </r>
    <r>
      <rPr>
        <b/>
        <i/>
        <sz val="16"/>
        <color theme="1"/>
        <rFont val="Calibri"/>
        <family val="2"/>
        <scheme val="minor"/>
      </rPr>
      <t>h</t>
    </r>
  </si>
  <si>
    <t>0,0012X+0,2599</t>
  </si>
  <si>
    <t>S2R</t>
  </si>
  <si>
    <t>Limites para 4 metroogos  6 repeticiones</t>
  </si>
  <si>
    <t>F calculado</t>
  </si>
  <si>
    <t>shic critico</t>
  </si>
  <si>
    <t>shic calculado</t>
  </si>
  <si>
    <t>N°</t>
  </si>
  <si>
    <t>Valores residuos ordenados valor medio</t>
  </si>
  <si>
    <t>Lim Inf</t>
  </si>
  <si>
    <t>Chi Critico</t>
  </si>
  <si>
    <t>H´´=Chi Calculado</t>
  </si>
  <si>
    <t>Residuos</t>
  </si>
  <si>
    <t>Residuos ordenados</t>
  </si>
  <si>
    <t xml:space="preserve"> U Repetibilidad</t>
  </si>
  <si>
    <t>Metrologos</t>
  </si>
  <si>
    <t>Resultados  Según Fórmula H</t>
  </si>
  <si>
    <t>Nombre</t>
  </si>
  <si>
    <t>HERRAMIENTA ESTADISTICA</t>
  </si>
  <si>
    <t>Magnitud:</t>
  </si>
  <si>
    <t>Unidades:</t>
  </si>
  <si>
    <t>Equipo:</t>
  </si>
  <si>
    <t>Serie:</t>
  </si>
  <si>
    <t xml:space="preserve">Fecha de realización: </t>
  </si>
  <si>
    <t>Elaborado por:</t>
  </si>
  <si>
    <t>Código Interno:</t>
  </si>
  <si>
    <t xml:space="preserve"> EJERCICIO </t>
  </si>
  <si>
    <t>TAR Y TUR</t>
  </si>
  <si>
    <t>HYK</t>
  </si>
  <si>
    <t>ERROR NORMALIZADO</t>
  </si>
  <si>
    <t>INTRALABORATORIO</t>
  </si>
  <si>
    <t>ANOVA</t>
  </si>
  <si>
    <t>RPETIBILIDAD</t>
  </si>
  <si>
    <t>CLASIFICACION DE EQUIPOS</t>
  </si>
  <si>
    <t>MODAY MEDIA ARITMÉTICA</t>
  </si>
  <si>
    <t>PRUBA F</t>
  </si>
  <si>
    <t>CARTAS DE CONTROL</t>
  </si>
  <si>
    <t>OBSERVACIONES</t>
  </si>
  <si>
    <t>Matriz datos Originales</t>
  </si>
  <si>
    <t>Datos Generados</t>
  </si>
  <si>
    <t>Matriz Datos Generados</t>
  </si>
  <si>
    <t>Valor variación</t>
  </si>
  <si>
    <t>El valor de Chi CD por tablas fue obtenido con el 95% de confianza o sea con un alfa de 0,05 y este valor es de Chi CD  grados de libertad k-1 = 2 grados de libertad, como el valor obtenido es menor a este, por lo tanto se encuentra en la región de aceptación y podemos afirmar con un 95% de confianza que las desviaciones en cada proceso de ensayo son similares.</t>
  </si>
  <si>
    <t>Prueba de Homocedasticidad Numérica, Prueba de contraste</t>
  </si>
  <si>
    <t>Chi Calculado</t>
  </si>
  <si>
    <t>Grados de libertad</t>
  </si>
  <si>
    <t>P valué</t>
  </si>
  <si>
    <t>HERRAMIENTA ESTADÍSTICA</t>
  </si>
  <si>
    <t>EAR</t>
  </si>
  <si>
    <t>LHB</t>
  </si>
  <si>
    <t>Media - Gran Media</t>
  </si>
  <si>
    <t>K</t>
  </si>
  <si>
    <t>F critico</t>
  </si>
  <si>
    <r>
      <t>s^</t>
    </r>
    <r>
      <rPr>
        <vertAlign val="superscript"/>
        <sz val="12"/>
        <color theme="1"/>
        <rFont val="Arial"/>
        <family val="2"/>
      </rPr>
      <t>2</t>
    </r>
    <r>
      <rPr>
        <sz val="12"/>
        <color theme="1"/>
        <rFont val="Arial"/>
        <family val="2"/>
      </rPr>
      <t>G</t>
    </r>
  </si>
  <si>
    <r>
      <t>H</t>
    </r>
    <r>
      <rPr>
        <b/>
        <vertAlign val="subscript"/>
        <sz val="12"/>
        <color theme="1"/>
        <rFont val="Arial"/>
        <family val="2"/>
      </rPr>
      <t>0</t>
    </r>
  </si>
  <si>
    <r>
      <t>H</t>
    </r>
    <r>
      <rPr>
        <b/>
        <vertAlign val="subscript"/>
        <sz val="12"/>
        <color theme="1"/>
        <rFont val="Arial"/>
        <family val="2"/>
      </rPr>
      <t>a</t>
    </r>
  </si>
  <si>
    <t>SCS</t>
  </si>
  <si>
    <t>Limite de significancia</t>
  </si>
  <si>
    <t>i</t>
  </si>
  <si>
    <t>(2i-1)</t>
  </si>
  <si>
    <t>Yi</t>
  </si>
  <si>
    <t>Yn+1-i</t>
  </si>
  <si>
    <t>Zi</t>
  </si>
  <si>
    <t>Zn+1-i</t>
  </si>
  <si>
    <t>F(Yi)</t>
  </si>
  <si>
    <t>F(Yn+1-i)</t>
  </si>
  <si>
    <t>LN(F(Yi))</t>
  </si>
  <si>
    <t>LN(1-F(Yn+1-i))</t>
  </si>
  <si>
    <t>Luis Henry</t>
  </si>
  <si>
    <t>Elvis Aguirre</t>
  </si>
  <si>
    <t>N</t>
  </si>
  <si>
    <t>Sumatoria(Si)</t>
  </si>
  <si>
    <t>DATOS DE ENTRADA</t>
  </si>
  <si>
    <t>media (µ)</t>
  </si>
  <si>
    <t>Valor critico Tabla</t>
  </si>
  <si>
    <r>
      <t>S</t>
    </r>
    <r>
      <rPr>
        <b/>
        <vertAlign val="subscript"/>
        <sz val="12"/>
        <color theme="1"/>
        <rFont val="Arial"/>
        <family val="2"/>
      </rPr>
      <t>i</t>
    </r>
  </si>
  <si>
    <t xml:space="preserve">p valor (α) </t>
  </si>
  <si>
    <t>Stivinson Córdoba</t>
  </si>
  <si>
    <t>desviación (δ)</t>
  </si>
  <si>
    <t>Estadístico AD</t>
  </si>
  <si>
    <t>Tabla valores críticos tabla ANDERSON DARLING para Distribución Normal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</si>
</sst>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9">
    <numFmt numFmtId="164" formatCode="0.0"/>
    <numFmt numFmtId="165" formatCode="0.000"/>
    <numFmt numFmtId="166" formatCode="0.0000"/>
    <numFmt numFmtId="167" formatCode="0.0%"/>
    <numFmt numFmtId="168" formatCode="0.00000000"/>
    <numFmt numFmtId="169" formatCode="0.00000"/>
    <numFmt numFmtId="170" formatCode="0.000E+00"/>
    <numFmt numFmtId="171" formatCode="0.000000"/>
    <numFmt numFmtId="172" formatCode="yyyy\-mm\-dd;@"/>
  </numFmts>
  <fonts count="42" x14ac:knownFonts="1"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1"/>
      <name val="Arial"/>
      <family val="2"/>
    </font>
    <font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name val="Calibri"/>
      <family val="2"/>
      <scheme val="minor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i/>
      <sz val="16"/>
      <color theme="1"/>
      <name val="Calibri"/>
      <family val="2"/>
      <scheme val="minor"/>
    </font>
    <font>
      <i/>
      <sz val="14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1"/>
      <color theme="1"/>
      <name val="Calibri"/>
      <family val="2"/>
    </font>
    <font>
      <sz val="12"/>
      <name val="Arial"/>
      <family val="2"/>
    </font>
    <font>
      <i/>
      <sz val="10"/>
      <name val="Arial"/>
      <family val="2"/>
    </font>
    <font>
      <i/>
      <sz val="14"/>
      <name val="Arial"/>
      <family val="2"/>
    </font>
    <font>
      <i/>
      <sz val="12"/>
      <name val="Arial"/>
      <family val="2"/>
    </font>
    <font>
      <sz val="14"/>
      <name val="Arial"/>
      <family val="2"/>
    </font>
    <font>
      <sz val="8"/>
      <name val="Arial"/>
      <family val="2"/>
    </font>
    <font>
      <sz val="8"/>
      <color theme="1"/>
      <name val="Calibri"/>
      <family val="2"/>
      <scheme val="minor"/>
    </font>
    <font>
      <b/>
      <sz val="12"/>
      <color theme="0"/>
      <name val="Arial"/>
      <family val="2"/>
    </font>
    <font>
      <sz val="12"/>
      <color theme="1"/>
      <name val="Arial"/>
      <family val="2"/>
    </font>
    <font>
      <b/>
      <i/>
      <sz val="12"/>
      <color theme="1"/>
      <name val="Arial"/>
      <family val="2"/>
    </font>
    <font>
      <sz val="20"/>
      <color theme="1"/>
      <name val="Arial"/>
      <family val="2"/>
    </font>
    <font>
      <b/>
      <sz val="20"/>
      <color theme="0"/>
      <name val="Arial"/>
      <family val="2"/>
    </font>
    <font>
      <sz val="20"/>
      <color theme="0"/>
      <name val="Arial"/>
      <family val="2"/>
    </font>
    <font>
      <b/>
      <sz val="12"/>
      <color theme="1"/>
      <name val="Arial"/>
      <family val="2"/>
    </font>
    <font>
      <sz val="12"/>
      <color theme="0"/>
      <name val="Arial"/>
      <family val="2"/>
    </font>
    <font>
      <b/>
      <sz val="14"/>
      <color theme="1"/>
      <name val="Arial"/>
      <family val="2"/>
    </font>
    <font>
      <b/>
      <sz val="12"/>
      <name val="Arial"/>
      <family val="2"/>
    </font>
    <font>
      <b/>
      <sz val="20"/>
      <color theme="1"/>
      <name val="Arial"/>
      <family val="2"/>
    </font>
    <font>
      <b/>
      <sz val="14"/>
      <name val="Arial"/>
      <family val="2"/>
    </font>
    <font>
      <b/>
      <sz val="12"/>
      <color rgb="FF00B0F0"/>
      <name val="Arial"/>
      <family val="2"/>
    </font>
    <font>
      <b/>
      <sz val="18"/>
      <color theme="0"/>
      <name val="Arial"/>
      <family val="2"/>
    </font>
    <font>
      <b/>
      <sz val="12"/>
      <color rgb="FF00FF00"/>
      <name val="Arial"/>
      <family val="2"/>
    </font>
    <font>
      <vertAlign val="superscript"/>
      <sz val="12"/>
      <color theme="1"/>
      <name val="Arial"/>
      <family val="2"/>
    </font>
    <font>
      <b/>
      <vertAlign val="subscript"/>
      <sz val="12"/>
      <color theme="1"/>
      <name val="Arial"/>
      <family val="2"/>
    </font>
    <font>
      <b/>
      <sz val="16"/>
      <color theme="1"/>
      <name val="Arial"/>
      <family val="2"/>
    </font>
    <font>
      <b/>
      <sz val="24"/>
      <color theme="1"/>
      <name val="Arial"/>
      <family val="2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79998168889431442"/>
        <bgColor indexed="64"/>
      </patternFill>
    </fill>
    <fill>
      <gradientFill type="path">
        <stop position="0">
          <color rgb="FF92D050"/>
        </stop>
        <stop position="1">
          <color rgb="FFFFFF00"/>
        </stop>
      </gradientFill>
    </fill>
    <fill>
      <patternFill patternType="solid">
        <fgColor rgb="FFD9D9D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249977111117893"/>
        <bgColor indexed="64"/>
      </patternFill>
    </fill>
  </fills>
  <borders count="91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/>
      <right style="thin">
        <color auto="1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auto="1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auto="1"/>
      </left>
      <right/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thin">
        <color auto="1"/>
      </bottom>
      <diagonal/>
    </border>
    <border>
      <left/>
      <right style="thin">
        <color auto="1"/>
      </right>
      <top style="double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double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thin">
        <color auto="1"/>
      </bottom>
      <diagonal/>
    </border>
    <border>
      <left style="double">
        <color auto="1"/>
      </left>
      <right/>
      <top style="thin">
        <color auto="1"/>
      </top>
      <bottom/>
      <diagonal/>
    </border>
    <border>
      <left style="double">
        <color auto="1"/>
      </left>
      <right/>
      <top/>
      <bottom style="thin">
        <color auto="1"/>
      </bottom>
      <diagonal/>
    </border>
    <border>
      <left style="double">
        <color auto="1"/>
      </left>
      <right/>
      <top style="thin">
        <color auto="1"/>
      </top>
      <bottom style="double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auto="1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thin">
        <color auto="1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thin">
        <color auto="1"/>
      </right>
      <top style="medium">
        <color indexed="64"/>
      </top>
      <bottom/>
      <diagonal/>
    </border>
    <border>
      <left style="medium">
        <color indexed="64"/>
      </left>
      <right/>
      <top style="thin">
        <color auto="1"/>
      </top>
      <bottom style="medium">
        <color indexed="64"/>
      </bottom>
      <diagonal/>
    </border>
    <border>
      <left/>
      <right/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/>
      <right/>
      <top/>
      <bottom style="double">
        <color auto="1"/>
      </bottom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/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double">
        <color auto="1"/>
      </bottom>
      <diagonal/>
    </border>
    <border>
      <left/>
      <right style="double">
        <color auto="1"/>
      </right>
      <top style="double">
        <color auto="1"/>
      </top>
      <bottom style="thin">
        <color auto="1"/>
      </bottom>
      <diagonal/>
    </border>
    <border>
      <left/>
      <right/>
      <top style="double">
        <color auto="1"/>
      </top>
      <bottom style="double">
        <color auto="1"/>
      </bottom>
      <diagonal/>
    </border>
    <border>
      <left style="medium">
        <color indexed="64"/>
      </left>
      <right/>
      <top/>
      <bottom style="double">
        <color auto="1"/>
      </bottom>
      <diagonal/>
    </border>
    <border>
      <left/>
      <right style="medium">
        <color indexed="64"/>
      </right>
      <top/>
      <bottom style="double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</borders>
  <cellStyleXfs count="4">
    <xf numFmtId="0" fontId="0" fillId="0" borderId="0"/>
    <xf numFmtId="9" fontId="3" fillId="0" borderId="0" applyFont="0" applyFill="0" applyBorder="0" applyAlignment="0" applyProtection="0"/>
    <xf numFmtId="0" fontId="9" fillId="0" borderId="0"/>
    <xf numFmtId="0" fontId="24" fillId="14" borderId="0">
      <alignment horizontal="left"/>
    </xf>
  </cellStyleXfs>
  <cellXfs count="911">
    <xf numFmtId="0" fontId="0" fillId="0" borderId="0" xfId="0"/>
    <xf numFmtId="0" fontId="5" fillId="0" borderId="18" xfId="0" applyFont="1" applyFill="1" applyBorder="1" applyAlignment="1">
      <alignment horizontal="center"/>
    </xf>
    <xf numFmtId="0" fontId="0" fillId="0" borderId="0" xfId="0" applyFill="1" applyBorder="1" applyAlignment="1"/>
    <xf numFmtId="0" fontId="0" fillId="0" borderId="19" xfId="0" applyFill="1" applyBorder="1" applyAlignment="1"/>
    <xf numFmtId="0" fontId="0" fillId="0" borderId="0" xfId="0" applyAlignment="1">
      <alignment wrapText="1"/>
    </xf>
    <xf numFmtId="0" fontId="0" fillId="0" borderId="11" xfId="0" applyBorder="1"/>
    <xf numFmtId="0" fontId="0" fillId="0" borderId="11" xfId="0" applyBorder="1" applyAlignment="1">
      <alignment horizontal="center"/>
    </xf>
    <xf numFmtId="0" fontId="0" fillId="0" borderId="11" xfId="0" applyFill="1" applyBorder="1"/>
    <xf numFmtId="0" fontId="0" fillId="0" borderId="38" xfId="0" applyBorder="1" applyAlignment="1"/>
    <xf numFmtId="0" fontId="0" fillId="0" borderId="0" xfId="0" applyBorder="1" applyAlignment="1"/>
    <xf numFmtId="0" fontId="0" fillId="0" borderId="0" xfId="0" applyBorder="1"/>
    <xf numFmtId="0" fontId="0" fillId="0" borderId="0" xfId="0" applyBorder="1" applyAlignment="1">
      <alignment horizontal="center"/>
    </xf>
    <xf numFmtId="0" fontId="0" fillId="2" borderId="0" xfId="0" applyFill="1"/>
    <xf numFmtId="0" fontId="0" fillId="3" borderId="11" xfId="0" applyFill="1" applyBorder="1" applyAlignment="1">
      <alignment horizontal="center"/>
    </xf>
    <xf numFmtId="0" fontId="8" fillId="0" borderId="0" xfId="0" applyFont="1" applyFill="1" applyBorder="1"/>
    <xf numFmtId="0" fontId="8" fillId="0" borderId="36" xfId="0" applyFont="1" applyFill="1" applyBorder="1"/>
    <xf numFmtId="166" fontId="0" fillId="0" borderId="38" xfId="0" applyNumberFormat="1" applyBorder="1" applyAlignment="1"/>
    <xf numFmtId="166" fontId="0" fillId="0" borderId="0" xfId="0" applyNumberFormat="1" applyBorder="1" applyAlignment="1"/>
    <xf numFmtId="0" fontId="11" fillId="4" borderId="11" xfId="0" applyFont="1" applyFill="1" applyBorder="1" applyAlignment="1">
      <alignment horizontal="center"/>
    </xf>
    <xf numFmtId="166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0" fontId="0" fillId="0" borderId="0" xfId="0" applyFill="1"/>
    <xf numFmtId="0" fontId="11" fillId="0" borderId="0" xfId="0" applyFont="1" applyFill="1"/>
    <xf numFmtId="0" fontId="11" fillId="0" borderId="0" xfId="0" applyFont="1"/>
    <xf numFmtId="166" fontId="0" fillId="0" borderId="11" xfId="0" applyNumberFormat="1" applyBorder="1" applyAlignment="1">
      <alignment horizontal="center"/>
    </xf>
    <xf numFmtId="0" fontId="0" fillId="5" borderId="38" xfId="0" applyFill="1" applyBorder="1" applyAlignment="1"/>
    <xf numFmtId="0" fontId="0" fillId="5" borderId="0" xfId="0" applyFill="1" applyBorder="1" applyAlignment="1"/>
    <xf numFmtId="0" fontId="0" fillId="5" borderId="0" xfId="0" applyFill="1" applyBorder="1" applyAlignment="1">
      <alignment horizontal="center"/>
    </xf>
    <xf numFmtId="2" fontId="0" fillId="0" borderId="11" xfId="0" applyNumberFormat="1" applyBorder="1"/>
    <xf numFmtId="2" fontId="0" fillId="0" borderId="14" xfId="0" applyNumberFormat="1" applyBorder="1"/>
    <xf numFmtId="2" fontId="0" fillId="5" borderId="38" xfId="0" applyNumberFormat="1" applyFill="1" applyBorder="1"/>
    <xf numFmtId="2" fontId="0" fillId="5" borderId="0" xfId="0" applyNumberFormat="1" applyFill="1" applyBorder="1"/>
    <xf numFmtId="0" fontId="0" fillId="5" borderId="0" xfId="0" applyFill="1" applyBorder="1"/>
    <xf numFmtId="0" fontId="0" fillId="0" borderId="0" xfId="0" applyAlignment="1">
      <alignment horizontal="center"/>
    </xf>
    <xf numFmtId="166" fontId="0" fillId="0" borderId="11" xfId="0" applyNumberFormat="1" applyBorder="1"/>
    <xf numFmtId="2" fontId="0" fillId="0" borderId="0" xfId="0" applyNumberFormat="1" applyBorder="1"/>
    <xf numFmtId="0" fontId="0" fillId="5" borderId="38" xfId="0" applyFill="1" applyBorder="1" applyAlignment="1">
      <alignment vertical="center"/>
    </xf>
    <xf numFmtId="0" fontId="0" fillId="5" borderId="0" xfId="0" applyFill="1" applyBorder="1" applyAlignment="1">
      <alignment vertical="center"/>
    </xf>
    <xf numFmtId="0" fontId="0" fillId="5" borderId="41" xfId="0" applyFill="1" applyBorder="1" applyAlignment="1">
      <alignment vertical="center"/>
    </xf>
    <xf numFmtId="0" fontId="0" fillId="0" borderId="0" xfId="0" applyAlignment="1"/>
    <xf numFmtId="0" fontId="11" fillId="4" borderId="11" xfId="0" applyFont="1" applyFill="1" applyBorder="1" applyAlignment="1">
      <alignment horizontal="center" vertical="center"/>
    </xf>
    <xf numFmtId="0" fontId="11" fillId="4" borderId="14" xfId="0" applyFont="1" applyFill="1" applyBorder="1" applyAlignment="1">
      <alignment horizontal="center" vertical="center"/>
    </xf>
    <xf numFmtId="0" fontId="11" fillId="5" borderId="38" xfId="0" applyFont="1" applyFill="1" applyBorder="1" applyAlignment="1">
      <alignment horizontal="center" vertical="center"/>
    </xf>
    <xf numFmtId="0" fontId="11" fillId="5" borderId="0" xfId="0" applyFont="1" applyFill="1" applyBorder="1" applyAlignment="1">
      <alignment horizontal="center" vertical="center"/>
    </xf>
    <xf numFmtId="0" fontId="0" fillId="5" borderId="41" xfId="0" applyFill="1" applyBorder="1"/>
    <xf numFmtId="9" fontId="4" fillId="0" borderId="11" xfId="0" applyNumberFormat="1" applyFont="1" applyBorder="1" applyAlignment="1">
      <alignment horizontal="center" vertical="center"/>
    </xf>
    <xf numFmtId="9" fontId="0" fillId="0" borderId="11" xfId="0" applyNumberFormat="1" applyBorder="1"/>
    <xf numFmtId="2" fontId="0" fillId="0" borderId="11" xfId="0" applyNumberFormat="1" applyBorder="1" applyAlignment="1">
      <alignment horizontal="center" vertical="center"/>
    </xf>
    <xf numFmtId="2" fontId="0" fillId="0" borderId="0" xfId="0" applyNumberForma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13" fillId="0" borderId="0" xfId="0" applyFont="1"/>
    <xf numFmtId="0" fontId="0" fillId="0" borderId="0" xfId="0" applyBorder="1" applyAlignment="1">
      <alignment horizontal="center" vertical="center"/>
    </xf>
    <xf numFmtId="166" fontId="0" fillId="0" borderId="11" xfId="0" applyNumberFormat="1" applyBorder="1" applyAlignment="1">
      <alignment horizontal="center" vertical="center"/>
    </xf>
    <xf numFmtId="166" fontId="0" fillId="0" borderId="14" xfId="0" applyNumberFormat="1" applyBorder="1" applyAlignment="1">
      <alignment horizontal="center" vertical="center"/>
    </xf>
    <xf numFmtId="2" fontId="0" fillId="5" borderId="38" xfId="0" applyNumberFormat="1" applyFill="1" applyBorder="1" applyAlignment="1">
      <alignment horizontal="center" vertical="center"/>
    </xf>
    <xf numFmtId="2" fontId="0" fillId="5" borderId="0" xfId="0" applyNumberFormat="1" applyFill="1" applyBorder="1" applyAlignment="1">
      <alignment horizontal="center" vertical="center"/>
    </xf>
    <xf numFmtId="2" fontId="0" fillId="3" borderId="11" xfId="0" applyNumberFormat="1" applyFill="1" applyBorder="1"/>
    <xf numFmtId="2" fontId="0" fillId="3" borderId="0" xfId="0" applyNumberFormat="1" applyFill="1" applyBorder="1"/>
    <xf numFmtId="0" fontId="0" fillId="0" borderId="14" xfId="0" applyBorder="1" applyAlignment="1"/>
    <xf numFmtId="0" fontId="0" fillId="0" borderId="15" xfId="0" applyBorder="1" applyAlignment="1"/>
    <xf numFmtId="0" fontId="0" fillId="0" borderId="41" xfId="0" applyBorder="1" applyAlignment="1"/>
    <xf numFmtId="0" fontId="11" fillId="0" borderId="38" xfId="0" applyFont="1" applyBorder="1" applyAlignment="1"/>
    <xf numFmtId="0" fontId="11" fillId="0" borderId="0" xfId="0" applyFont="1" applyBorder="1" applyAlignment="1"/>
    <xf numFmtId="0" fontId="11" fillId="0" borderId="38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0" fillId="0" borderId="41" xfId="0" applyBorder="1"/>
    <xf numFmtId="9" fontId="0" fillId="3" borderId="11" xfId="0" applyNumberFormat="1" applyFill="1" applyBorder="1"/>
    <xf numFmtId="9" fontId="0" fillId="0" borderId="0" xfId="0" applyNumberFormat="1"/>
    <xf numFmtId="2" fontId="0" fillId="0" borderId="0" xfId="0" applyNumberFormat="1" applyFill="1" applyBorder="1"/>
    <xf numFmtId="0" fontId="10" fillId="0" borderId="11" xfId="0" applyFont="1" applyBorder="1"/>
    <xf numFmtId="2" fontId="0" fillId="0" borderId="0" xfId="0" applyNumberFormat="1"/>
    <xf numFmtId="0" fontId="0" fillId="4" borderId="14" xfId="0" applyFill="1" applyBorder="1" applyAlignment="1"/>
    <xf numFmtId="0" fontId="0" fillId="4" borderId="15" xfId="0" applyFill="1" applyBorder="1" applyAlignment="1"/>
    <xf numFmtId="0" fontId="0" fillId="4" borderId="16" xfId="0" applyFill="1" applyBorder="1" applyAlignment="1"/>
    <xf numFmtId="0" fontId="0" fillId="4" borderId="11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0" fillId="0" borderId="11" xfId="0" applyBorder="1" applyAlignment="1">
      <alignment horizontal="center" vertical="center"/>
    </xf>
    <xf numFmtId="0" fontId="0" fillId="0" borderId="17" xfId="0" applyFill="1" applyBorder="1" applyAlignment="1">
      <alignment horizontal="center" vertical="center"/>
    </xf>
    <xf numFmtId="0" fontId="0" fillId="3" borderId="11" xfId="0" applyFill="1" applyBorder="1" applyAlignment="1">
      <alignment horizontal="center" vertical="center"/>
    </xf>
    <xf numFmtId="169" fontId="0" fillId="0" borderId="11" xfId="0" applyNumberFormat="1" applyBorder="1" applyAlignment="1">
      <alignment horizontal="center"/>
    </xf>
    <xf numFmtId="165" fontId="0" fillId="0" borderId="0" xfId="0" applyNumberFormat="1"/>
    <xf numFmtId="165" fontId="0" fillId="5" borderId="38" xfId="0" applyNumberFormat="1" applyFill="1" applyBorder="1" applyAlignment="1">
      <alignment horizontal="center" vertical="center"/>
    </xf>
    <xf numFmtId="165" fontId="0" fillId="5" borderId="0" xfId="0" applyNumberFormat="1" applyFill="1" applyBorder="1" applyAlignment="1">
      <alignment horizontal="center" vertical="center"/>
    </xf>
    <xf numFmtId="165" fontId="0" fillId="0" borderId="0" xfId="0" applyNumberFormat="1" applyBorder="1" applyAlignment="1">
      <alignment horizontal="center" vertical="center"/>
    </xf>
    <xf numFmtId="0" fontId="0" fillId="6" borderId="11" xfId="0" applyFill="1" applyBorder="1"/>
    <xf numFmtId="166" fontId="0" fillId="6" borderId="11" xfId="0" applyNumberFormat="1" applyFill="1" applyBorder="1"/>
    <xf numFmtId="165" fontId="0" fillId="5" borderId="0" xfId="0" applyNumberFormat="1" applyFill="1" applyBorder="1"/>
    <xf numFmtId="170" fontId="0" fillId="0" borderId="11" xfId="0" applyNumberFormat="1" applyBorder="1" applyAlignment="1">
      <alignment horizontal="center" vertical="center"/>
    </xf>
    <xf numFmtId="164" fontId="0" fillId="6" borderId="11" xfId="0" applyNumberFormat="1" applyFill="1" applyBorder="1" applyAlignment="1">
      <alignment horizontal="center"/>
    </xf>
    <xf numFmtId="164" fontId="0" fillId="5" borderId="38" xfId="0" applyNumberFormat="1" applyFill="1" applyBorder="1" applyAlignment="1">
      <alignment horizontal="center"/>
    </xf>
    <xf numFmtId="164" fontId="0" fillId="5" borderId="0" xfId="0" applyNumberFormat="1" applyFill="1" applyBorder="1" applyAlignment="1">
      <alignment horizontal="center"/>
    </xf>
    <xf numFmtId="0" fontId="0" fillId="5" borderId="38" xfId="0" applyFill="1" applyBorder="1"/>
    <xf numFmtId="0" fontId="0" fillId="6" borderId="14" xfId="0" applyFill="1" applyBorder="1"/>
    <xf numFmtId="0" fontId="0" fillId="5" borderId="0" xfId="0" applyFill="1"/>
    <xf numFmtId="0" fontId="0" fillId="0" borderId="38" xfId="0" applyFill="1" applyBorder="1" applyAlignment="1">
      <alignment vertical="center"/>
    </xf>
    <xf numFmtId="0" fontId="0" fillId="0" borderId="0" xfId="0" applyFill="1" applyBorder="1" applyAlignment="1">
      <alignment vertical="center"/>
    </xf>
    <xf numFmtId="0" fontId="0" fillId="0" borderId="0" xfId="0" applyFill="1" applyBorder="1" applyAlignment="1">
      <alignment horizontal="center" vertical="center"/>
    </xf>
    <xf numFmtId="165" fontId="0" fillId="0" borderId="38" xfId="0" applyNumberFormat="1" applyFill="1" applyBorder="1" applyAlignment="1">
      <alignment horizontal="center" vertical="center"/>
    </xf>
    <xf numFmtId="165" fontId="0" fillId="0" borderId="0" xfId="0" applyNumberFormat="1" applyFill="1" applyBorder="1" applyAlignment="1">
      <alignment horizontal="center" vertical="center"/>
    </xf>
    <xf numFmtId="0" fontId="0" fillId="0" borderId="0" xfId="0" applyFill="1" applyBorder="1"/>
    <xf numFmtId="170" fontId="0" fillId="6" borderId="11" xfId="0" applyNumberFormat="1" applyFill="1" applyBorder="1"/>
    <xf numFmtId="166" fontId="0" fillId="0" borderId="0" xfId="0" applyNumberFormat="1" applyFill="1" applyBorder="1"/>
    <xf numFmtId="0" fontId="15" fillId="0" borderId="0" xfId="0" applyFont="1"/>
    <xf numFmtId="0" fontId="15" fillId="0" borderId="11" xfId="0" applyFont="1" applyBorder="1"/>
    <xf numFmtId="11" fontId="0" fillId="0" borderId="0" xfId="0" applyNumberFormat="1"/>
    <xf numFmtId="0" fontId="0" fillId="6" borderId="11" xfId="0" applyFill="1" applyBorder="1" applyAlignment="1">
      <alignment horizontal="center" vertical="center"/>
    </xf>
    <xf numFmtId="169" fontId="0" fillId="0" borderId="11" xfId="0" applyNumberFormat="1" applyBorder="1" applyAlignment="1">
      <alignment horizontal="center" vertical="center"/>
    </xf>
    <xf numFmtId="165" fontId="0" fillId="8" borderId="0" xfId="0" applyNumberFormat="1" applyFill="1"/>
    <xf numFmtId="169" fontId="0" fillId="0" borderId="11" xfId="0" applyNumberFormat="1" applyBorder="1"/>
    <xf numFmtId="165" fontId="0" fillId="0" borderId="0" xfId="0" applyNumberFormat="1" applyBorder="1"/>
    <xf numFmtId="171" fontId="0" fillId="0" borderId="11" xfId="0" applyNumberFormat="1" applyBorder="1"/>
    <xf numFmtId="166" fontId="0" fillId="0" borderId="0" xfId="0" applyNumberFormat="1" applyBorder="1"/>
    <xf numFmtId="165" fontId="0" fillId="0" borderId="38" xfId="0" applyNumberFormat="1" applyFill="1" applyBorder="1" applyAlignment="1"/>
    <xf numFmtId="165" fontId="0" fillId="0" borderId="0" xfId="0" applyNumberFormat="1" applyFill="1" applyBorder="1" applyAlignment="1"/>
    <xf numFmtId="165" fontId="0" fillId="0" borderId="0" xfId="0" applyNumberFormat="1" applyFill="1" applyBorder="1" applyAlignment="1">
      <alignment horizontal="center"/>
    </xf>
    <xf numFmtId="0" fontId="0" fillId="8" borderId="17" xfId="0" applyFill="1" applyBorder="1"/>
    <xf numFmtId="0" fontId="9" fillId="9" borderId="0" xfId="2" applyFont="1" applyFill="1"/>
    <xf numFmtId="0" fontId="16" fillId="9" borderId="0" xfId="2" applyFont="1" applyFill="1" applyBorder="1" applyAlignment="1">
      <alignment horizontal="left"/>
    </xf>
    <xf numFmtId="0" fontId="17" fillId="9" borderId="0" xfId="2" applyFont="1" applyFill="1" applyBorder="1" applyAlignment="1">
      <alignment horizontal="center"/>
    </xf>
    <xf numFmtId="0" fontId="18" fillId="9" borderId="0" xfId="2" applyFont="1" applyFill="1" applyBorder="1" applyAlignment="1">
      <alignment horizontal="center"/>
    </xf>
    <xf numFmtId="0" fontId="19" fillId="9" borderId="0" xfId="2" applyFont="1" applyFill="1" applyBorder="1" applyAlignment="1">
      <alignment horizontal="right"/>
    </xf>
    <xf numFmtId="0" fontId="16" fillId="9" borderId="0" xfId="2" applyFont="1" applyFill="1" applyBorder="1"/>
    <xf numFmtId="0" fontId="9" fillId="9" borderId="0" xfId="2" applyFont="1" applyFill="1" applyBorder="1" applyAlignment="1"/>
    <xf numFmtId="0" fontId="20" fillId="9" borderId="0" xfId="2" applyFont="1" applyFill="1" applyBorder="1" applyAlignment="1"/>
    <xf numFmtId="0" fontId="16" fillId="9" borderId="0" xfId="2" applyFont="1" applyFill="1" applyBorder="1" applyAlignment="1">
      <alignment horizontal="right"/>
    </xf>
    <xf numFmtId="0" fontId="20" fillId="9" borderId="0" xfId="2" applyFont="1" applyFill="1" applyBorder="1"/>
    <xf numFmtId="0" fontId="9" fillId="9" borderId="0" xfId="2" applyFont="1" applyFill="1" applyBorder="1"/>
    <xf numFmtId="0" fontId="9" fillId="9" borderId="46" xfId="2" applyFont="1" applyFill="1" applyBorder="1"/>
    <xf numFmtId="0" fontId="9" fillId="9" borderId="38" xfId="2" applyFont="1" applyFill="1" applyBorder="1"/>
    <xf numFmtId="0" fontId="9" fillId="9" borderId="11" xfId="2" applyFont="1" applyFill="1" applyBorder="1"/>
    <xf numFmtId="1" fontId="9" fillId="9" borderId="11" xfId="2" applyNumberFormat="1" applyFont="1" applyFill="1" applyBorder="1"/>
    <xf numFmtId="0" fontId="9" fillId="9" borderId="53" xfId="2" applyFont="1" applyFill="1" applyBorder="1"/>
    <xf numFmtId="0" fontId="21" fillId="9" borderId="53" xfId="2" applyFont="1" applyFill="1" applyBorder="1"/>
    <xf numFmtId="0" fontId="16" fillId="9" borderId="0" xfId="2" applyFont="1" applyFill="1"/>
    <xf numFmtId="1" fontId="16" fillId="2" borderId="0" xfId="2" applyNumberFormat="1" applyFont="1" applyFill="1"/>
    <xf numFmtId="2" fontId="16" fillId="9" borderId="0" xfId="2" applyNumberFormat="1" applyFont="1" applyFill="1" applyBorder="1"/>
    <xf numFmtId="0" fontId="9" fillId="0" borderId="11" xfId="2" applyFont="1" applyFill="1" applyBorder="1"/>
    <xf numFmtId="2" fontId="16" fillId="9" borderId="0" xfId="2" applyNumberFormat="1" applyFont="1" applyFill="1"/>
    <xf numFmtId="2" fontId="9" fillId="9" borderId="0" xfId="2" applyNumberFormat="1" applyFont="1" applyFill="1"/>
    <xf numFmtId="0" fontId="0" fillId="3" borderId="0" xfId="0" applyFill="1" applyBorder="1" applyAlignment="1">
      <alignment horizontal="center"/>
    </xf>
    <xf numFmtId="166" fontId="0" fillId="0" borderId="0" xfId="0" applyNumberFormat="1" applyFill="1" applyBorder="1" applyAlignment="1"/>
    <xf numFmtId="0" fontId="0" fillId="4" borderId="37" xfId="0" applyFill="1" applyBorder="1" applyAlignment="1"/>
    <xf numFmtId="0" fontId="0" fillId="4" borderId="36" xfId="0" applyFill="1" applyBorder="1" applyAlignment="1"/>
    <xf numFmtId="0" fontId="0" fillId="4" borderId="11" xfId="0" applyFill="1" applyBorder="1" applyAlignment="1"/>
    <xf numFmtId="2" fontId="0" fillId="0" borderId="11" xfId="0" applyNumberFormat="1" applyFill="1" applyBorder="1"/>
    <xf numFmtId="0" fontId="0" fillId="0" borderId="11" xfId="0" applyFill="1" applyBorder="1" applyAlignment="1">
      <alignment horizontal="center" vertical="center"/>
    </xf>
    <xf numFmtId="2" fontId="0" fillId="0" borderId="11" xfId="0" applyNumberFormat="1" applyFill="1" applyBorder="1" applyAlignment="1">
      <alignment horizontal="center" vertical="center"/>
    </xf>
    <xf numFmtId="0" fontId="22" fillId="0" borderId="11" xfId="0" applyFont="1" applyBorder="1" applyAlignment="1">
      <alignment horizontal="center" vertical="center"/>
    </xf>
    <xf numFmtId="0" fontId="0" fillId="2" borderId="11" xfId="0" applyFill="1" applyBorder="1"/>
    <xf numFmtId="0" fontId="0" fillId="3" borderId="12" xfId="0" applyFill="1" applyBorder="1" applyAlignment="1">
      <alignment horizontal="center"/>
    </xf>
    <xf numFmtId="0" fontId="24" fillId="0" borderId="0" xfId="0" applyFont="1"/>
    <xf numFmtId="166" fontId="24" fillId="0" borderId="0" xfId="0" applyNumberFormat="1" applyFont="1" applyBorder="1"/>
    <xf numFmtId="0" fontId="24" fillId="0" borderId="0" xfId="0" applyFont="1" applyBorder="1"/>
    <xf numFmtId="164" fontId="24" fillId="0" borderId="11" xfId="0" applyNumberFormat="1" applyFont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2" fontId="24" fillId="0" borderId="0" xfId="0" applyNumberFormat="1" applyFont="1"/>
    <xf numFmtId="164" fontId="24" fillId="0" borderId="0" xfId="0" applyNumberFormat="1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horizontal="center" vertical="center"/>
    </xf>
    <xf numFmtId="2" fontId="24" fillId="0" borderId="0" xfId="0" applyNumberFormat="1" applyFont="1" applyBorder="1"/>
    <xf numFmtId="2" fontId="24" fillId="0" borderId="0" xfId="0" applyNumberFormat="1" applyFont="1" applyFill="1" applyBorder="1"/>
    <xf numFmtId="0" fontId="24" fillId="0" borderId="0" xfId="0" applyFont="1" applyFill="1" applyBorder="1"/>
    <xf numFmtId="167" fontId="24" fillId="0" borderId="0" xfId="1" applyNumberFormat="1" applyFont="1" applyFill="1" applyBorder="1" applyAlignment="1">
      <alignment horizontal="center" vertical="center"/>
    </xf>
    <xf numFmtId="0" fontId="24" fillId="0" borderId="0" xfId="0" applyFont="1" applyFill="1"/>
    <xf numFmtId="0" fontId="24" fillId="0" borderId="0" xfId="0" applyFont="1" applyFill="1" applyBorder="1" applyAlignment="1">
      <alignment horizontal="center"/>
    </xf>
    <xf numFmtId="164" fontId="24" fillId="0" borderId="0" xfId="0" applyNumberFormat="1" applyFont="1" applyBorder="1"/>
    <xf numFmtId="2" fontId="24" fillId="0" borderId="0" xfId="0" applyNumberFormat="1" applyFont="1" applyBorder="1" applyAlignment="1">
      <alignment horizontal="center"/>
    </xf>
    <xf numFmtId="0" fontId="24" fillId="0" borderId="0" xfId="0" applyFont="1" applyAlignment="1">
      <alignment horizontal="center" vertical="center"/>
    </xf>
    <xf numFmtId="0" fontId="24" fillId="0" borderId="0" xfId="0" applyFont="1" applyBorder="1" applyAlignment="1"/>
    <xf numFmtId="0" fontId="24" fillId="0" borderId="0" xfId="0" applyFont="1" applyFill="1" applyBorder="1" applyAlignment="1"/>
    <xf numFmtId="2" fontId="24" fillId="0" borderId="11" xfId="0" applyNumberFormat="1" applyFont="1" applyBorder="1" applyAlignment="1">
      <alignment horizontal="center" vertical="center"/>
    </xf>
    <xf numFmtId="0" fontId="24" fillId="0" borderId="2" xfId="0" applyFont="1" applyBorder="1"/>
    <xf numFmtId="0" fontId="24" fillId="0" borderId="4" xfId="0" applyFont="1" applyBorder="1"/>
    <xf numFmtId="168" fontId="24" fillId="0" borderId="0" xfId="0" applyNumberFormat="1" applyFont="1"/>
    <xf numFmtId="165" fontId="24" fillId="0" borderId="0" xfId="0" applyNumberFormat="1" applyFont="1" applyFill="1" applyBorder="1" applyAlignment="1">
      <alignment horizontal="center"/>
    </xf>
    <xf numFmtId="2" fontId="24" fillId="0" borderId="0" xfId="0" applyNumberFormat="1" applyFont="1" applyFill="1" applyBorder="1" applyAlignment="1"/>
    <xf numFmtId="2" fontId="24" fillId="0" borderId="0" xfId="0" applyNumberFormat="1" applyFont="1" applyFill="1" applyBorder="1" applyAlignment="1">
      <alignment horizontal="center"/>
    </xf>
    <xf numFmtId="165" fontId="24" fillId="0" borderId="0" xfId="0" applyNumberFormat="1" applyFont="1" applyAlignment="1">
      <alignment horizontal="center" vertical="center"/>
    </xf>
    <xf numFmtId="165" fontId="24" fillId="0" borderId="0" xfId="0" applyNumberFormat="1" applyFont="1" applyBorder="1" applyAlignment="1">
      <alignment horizontal="center"/>
    </xf>
    <xf numFmtId="0" fontId="24" fillId="0" borderId="3" xfId="0" applyFont="1" applyBorder="1"/>
    <xf numFmtId="164" fontId="24" fillId="0" borderId="0" xfId="0" applyNumberFormat="1" applyFont="1" applyBorder="1" applyAlignment="1">
      <alignment horizontal="center" vertical="center"/>
    </xf>
    <xf numFmtId="0" fontId="24" fillId="0" borderId="19" xfId="0" applyFont="1" applyBorder="1"/>
    <xf numFmtId="2" fontId="24" fillId="0" borderId="59" xfId="0" applyNumberFormat="1" applyFont="1" applyBorder="1" applyAlignment="1">
      <alignment horizontal="center" vertical="center"/>
    </xf>
    <xf numFmtId="2" fontId="24" fillId="0" borderId="29" xfId="0" applyNumberFormat="1" applyFont="1" applyBorder="1" applyAlignment="1">
      <alignment horizontal="center" vertical="center"/>
    </xf>
    <xf numFmtId="2" fontId="24" fillId="0" borderId="28" xfId="0" applyNumberFormat="1" applyFont="1" applyBorder="1" applyAlignment="1">
      <alignment horizontal="center" vertical="center"/>
    </xf>
    <xf numFmtId="2" fontId="24" fillId="0" borderId="16" xfId="0" applyNumberFormat="1" applyFont="1" applyBorder="1" applyAlignment="1">
      <alignment horizontal="center" vertical="center"/>
    </xf>
    <xf numFmtId="0" fontId="23" fillId="0" borderId="0" xfId="0" applyFont="1" applyFill="1" applyAlignment="1">
      <alignment horizontal="center"/>
    </xf>
    <xf numFmtId="0" fontId="28" fillId="10" borderId="0" xfId="0" applyFont="1" applyFill="1"/>
    <xf numFmtId="0" fontId="24" fillId="0" borderId="10" xfId="0" applyFont="1" applyBorder="1"/>
    <xf numFmtId="0" fontId="27" fillId="0" borderId="0" xfId="0" applyFont="1" applyFill="1" applyBorder="1" applyAlignment="1">
      <alignment horizontal="center" vertical="center"/>
    </xf>
    <xf numFmtId="2" fontId="24" fillId="0" borderId="1" xfId="0" applyNumberFormat="1" applyFont="1" applyBorder="1"/>
    <xf numFmtId="2" fontId="24" fillId="0" borderId="20" xfId="0" applyNumberFormat="1" applyFont="1" applyBorder="1"/>
    <xf numFmtId="165" fontId="24" fillId="0" borderId="0" xfId="0" applyNumberFormat="1" applyFont="1" applyBorder="1"/>
    <xf numFmtId="0" fontId="24" fillId="0" borderId="5" xfId="0" applyFont="1" applyBorder="1"/>
    <xf numFmtId="0" fontId="24" fillId="0" borderId="6" xfId="0" applyFont="1" applyBorder="1"/>
    <xf numFmtId="2" fontId="24" fillId="0" borderId="32" xfId="0" applyNumberFormat="1" applyFont="1" applyBorder="1" applyAlignment="1">
      <alignment horizontal="center" vertical="center"/>
    </xf>
    <xf numFmtId="2" fontId="24" fillId="0" borderId="31" xfId="0" applyNumberFormat="1" applyFont="1" applyBorder="1" applyAlignment="1">
      <alignment horizontal="center" vertical="center"/>
    </xf>
    <xf numFmtId="2" fontId="24" fillId="0" borderId="30" xfId="0" applyNumberFormat="1" applyFont="1" applyBorder="1" applyAlignment="1">
      <alignment horizontal="center" vertical="center"/>
    </xf>
    <xf numFmtId="2" fontId="24" fillId="0" borderId="56" xfId="0" applyNumberFormat="1" applyFont="1" applyBorder="1" applyAlignment="1">
      <alignment horizontal="center" vertical="center"/>
    </xf>
    <xf numFmtId="2" fontId="24" fillId="0" borderId="54" xfId="0" applyNumberFormat="1" applyFont="1" applyBorder="1" applyAlignment="1">
      <alignment horizontal="center" vertical="center"/>
    </xf>
    <xf numFmtId="0" fontId="24" fillId="0" borderId="1" xfId="0" applyFont="1" applyBorder="1"/>
    <xf numFmtId="2" fontId="24" fillId="0" borderId="27" xfId="0" applyNumberFormat="1" applyFont="1" applyBorder="1" applyAlignment="1">
      <alignment horizontal="center" vertical="center"/>
    </xf>
    <xf numFmtId="2" fontId="24" fillId="0" borderId="34" xfId="0" applyNumberFormat="1" applyFont="1" applyBorder="1" applyAlignment="1">
      <alignment horizontal="center" vertical="center"/>
    </xf>
    <xf numFmtId="2" fontId="24" fillId="0" borderId="33" xfId="0" applyNumberFormat="1" applyFont="1" applyBorder="1" applyAlignment="1">
      <alignment horizontal="center" vertical="center"/>
    </xf>
    <xf numFmtId="169" fontId="24" fillId="0" borderId="0" xfId="0" applyNumberFormat="1" applyFont="1"/>
    <xf numFmtId="165" fontId="24" fillId="0" borderId="0" xfId="0" applyNumberFormat="1" applyFont="1" applyBorder="1" applyAlignment="1"/>
    <xf numFmtId="2" fontId="24" fillId="0" borderId="11" xfId="0" applyNumberFormat="1" applyFont="1" applyFill="1" applyBorder="1" applyAlignment="1">
      <alignment horizontal="center"/>
    </xf>
    <xf numFmtId="0" fontId="26" fillId="0" borderId="0" xfId="0" applyFont="1" applyBorder="1" applyAlignment="1">
      <alignment horizontal="center" vertical="center"/>
    </xf>
    <xf numFmtId="0" fontId="24" fillId="0" borderId="8" xfId="0" applyFont="1" applyBorder="1"/>
    <xf numFmtId="0" fontId="24" fillId="0" borderId="9" xfId="0" applyFont="1" applyBorder="1"/>
    <xf numFmtId="0" fontId="29" fillId="0" borderId="26" xfId="0" applyFont="1" applyBorder="1" applyAlignment="1">
      <alignment horizontal="center" vertical="center" wrapText="1"/>
    </xf>
    <xf numFmtId="0" fontId="29" fillId="0" borderId="26" xfId="0" applyFont="1" applyBorder="1" applyAlignment="1">
      <alignment horizontal="center" vertical="center"/>
    </xf>
    <xf numFmtId="165" fontId="24" fillId="0" borderId="13" xfId="0" applyNumberFormat="1" applyFont="1" applyFill="1" applyBorder="1" applyAlignment="1">
      <alignment horizontal="center" vertical="center"/>
    </xf>
    <xf numFmtId="165" fontId="24" fillId="0" borderId="11" xfId="0" applyNumberFormat="1" applyFont="1" applyFill="1" applyBorder="1" applyAlignment="1">
      <alignment horizontal="center" vertical="center"/>
    </xf>
    <xf numFmtId="165" fontId="24" fillId="0" borderId="28" xfId="0" applyNumberFormat="1" applyFont="1" applyFill="1" applyBorder="1" applyAlignment="1">
      <alignment horizontal="center" vertical="center"/>
    </xf>
    <xf numFmtId="165" fontId="24" fillId="0" borderId="27" xfId="0" applyNumberFormat="1" applyFont="1" applyFill="1" applyBorder="1" applyAlignment="1">
      <alignment horizontal="center" vertical="center"/>
    </xf>
    <xf numFmtId="164" fontId="24" fillId="0" borderId="32" xfId="0" applyNumberFormat="1" applyFont="1" applyBorder="1" applyAlignment="1">
      <alignment horizontal="center" vertical="center"/>
    </xf>
    <xf numFmtId="164" fontId="24" fillId="0" borderId="33" xfId="0" applyNumberFormat="1" applyFont="1" applyBorder="1" applyAlignment="1">
      <alignment horizontal="center" vertical="center"/>
    </xf>
    <xf numFmtId="164" fontId="24" fillId="0" borderId="31" xfId="0" applyNumberFormat="1" applyFont="1" applyBorder="1" applyAlignment="1">
      <alignment horizontal="center" vertical="center"/>
    </xf>
    <xf numFmtId="164" fontId="24" fillId="0" borderId="59" xfId="0" applyNumberFormat="1" applyFont="1" applyBorder="1" applyAlignment="1">
      <alignment horizontal="center" vertical="center"/>
    </xf>
    <xf numFmtId="164" fontId="24" fillId="0" borderId="30" xfId="0" applyNumberFormat="1" applyFont="1" applyBorder="1" applyAlignment="1">
      <alignment horizontal="center" vertical="center"/>
    </xf>
    <xf numFmtId="0" fontId="29" fillId="10" borderId="21" xfId="0" applyFont="1" applyFill="1" applyBorder="1" applyAlignment="1">
      <alignment horizontal="center" vertical="center"/>
    </xf>
    <xf numFmtId="164" fontId="24" fillId="13" borderId="59" xfId="0" applyNumberFormat="1" applyFont="1" applyFill="1" applyBorder="1" applyAlignment="1">
      <alignment horizontal="center" vertical="center"/>
    </xf>
    <xf numFmtId="164" fontId="24" fillId="13" borderId="11" xfId="0" applyNumberFormat="1" applyFont="1" applyFill="1" applyBorder="1" applyAlignment="1">
      <alignment horizontal="center" vertical="center"/>
    </xf>
    <xf numFmtId="164" fontId="24" fillId="13" borderId="30" xfId="0" applyNumberFormat="1" applyFont="1" applyFill="1" applyBorder="1" applyAlignment="1">
      <alignment horizontal="center" vertical="center"/>
    </xf>
    <xf numFmtId="164" fontId="24" fillId="13" borderId="29" xfId="0" applyNumberFormat="1" applyFont="1" applyFill="1" applyBorder="1" applyAlignment="1">
      <alignment horizontal="center" vertical="center"/>
    </xf>
    <xf numFmtId="164" fontId="24" fillId="13" borderId="28" xfId="0" applyNumberFormat="1" applyFont="1" applyFill="1" applyBorder="1" applyAlignment="1">
      <alignment horizontal="center" vertical="center"/>
    </xf>
    <xf numFmtId="164" fontId="24" fillId="13" borderId="27" xfId="0" applyNumberFormat="1" applyFont="1" applyFill="1" applyBorder="1" applyAlignment="1">
      <alignment horizontal="center" vertical="center"/>
    </xf>
    <xf numFmtId="2" fontId="24" fillId="3" borderId="33" xfId="0" applyNumberFormat="1" applyFont="1" applyFill="1" applyBorder="1" applyAlignment="1">
      <alignment horizontal="center" vertical="center"/>
    </xf>
    <xf numFmtId="2" fontId="24" fillId="3" borderId="32" xfId="0" applyNumberFormat="1" applyFont="1" applyFill="1" applyBorder="1" applyAlignment="1">
      <alignment horizontal="center" vertical="center"/>
    </xf>
    <xf numFmtId="2" fontId="24" fillId="3" borderId="31" xfId="0" applyNumberFormat="1" applyFont="1" applyFill="1" applyBorder="1" applyAlignment="1">
      <alignment horizontal="center" vertical="center"/>
    </xf>
    <xf numFmtId="2" fontId="24" fillId="3" borderId="30" xfId="0" applyNumberFormat="1" applyFont="1" applyFill="1" applyBorder="1" applyAlignment="1">
      <alignment horizontal="center" vertical="center"/>
    </xf>
    <xf numFmtId="2" fontId="24" fillId="3" borderId="29" xfId="0" applyNumberFormat="1" applyFont="1" applyFill="1" applyBorder="1" applyAlignment="1">
      <alignment horizontal="center" vertical="center"/>
    </xf>
    <xf numFmtId="2" fontId="24" fillId="3" borderId="28" xfId="0" applyNumberFormat="1" applyFont="1" applyFill="1" applyBorder="1" applyAlignment="1">
      <alignment horizontal="center" vertical="center"/>
    </xf>
    <xf numFmtId="2" fontId="24" fillId="3" borderId="27" xfId="0" applyNumberFormat="1" applyFont="1" applyFill="1" applyBorder="1" applyAlignment="1">
      <alignment horizontal="center" vertical="center"/>
    </xf>
    <xf numFmtId="2" fontId="24" fillId="3" borderId="33" xfId="0" applyNumberFormat="1" applyFont="1" applyFill="1" applyBorder="1" applyAlignment="1">
      <alignment horizontal="center"/>
    </xf>
    <xf numFmtId="2" fontId="24" fillId="3" borderId="32" xfId="0" applyNumberFormat="1" applyFont="1" applyFill="1" applyBorder="1" applyAlignment="1">
      <alignment horizontal="center"/>
    </xf>
    <xf numFmtId="2" fontId="24" fillId="3" borderId="31" xfId="0" applyNumberFormat="1" applyFont="1" applyFill="1" applyBorder="1" applyAlignment="1">
      <alignment horizontal="center"/>
    </xf>
    <xf numFmtId="2" fontId="24" fillId="3" borderId="59" xfId="0" applyNumberFormat="1" applyFont="1" applyFill="1" applyBorder="1" applyAlignment="1">
      <alignment horizontal="center"/>
    </xf>
    <xf numFmtId="2" fontId="24" fillId="3" borderId="11" xfId="0" applyNumberFormat="1" applyFont="1" applyFill="1" applyBorder="1" applyAlignment="1">
      <alignment horizontal="center"/>
    </xf>
    <xf numFmtId="2" fontId="24" fillId="3" borderId="30" xfId="0" applyNumberFormat="1" applyFont="1" applyFill="1" applyBorder="1" applyAlignment="1">
      <alignment horizontal="center"/>
    </xf>
    <xf numFmtId="2" fontId="24" fillId="3" borderId="29" xfId="0" applyNumberFormat="1" applyFont="1" applyFill="1" applyBorder="1" applyAlignment="1">
      <alignment horizontal="center"/>
    </xf>
    <xf numFmtId="2" fontId="24" fillId="3" borderId="28" xfId="0" applyNumberFormat="1" applyFont="1" applyFill="1" applyBorder="1" applyAlignment="1">
      <alignment horizontal="center"/>
    </xf>
    <xf numFmtId="2" fontId="24" fillId="3" borderId="27" xfId="0" applyNumberFormat="1" applyFont="1" applyFill="1" applyBorder="1" applyAlignment="1">
      <alignment horizontal="center"/>
    </xf>
    <xf numFmtId="2" fontId="24" fillId="3" borderId="14" xfId="0" applyNumberFormat="1" applyFont="1" applyFill="1" applyBorder="1" applyAlignment="1">
      <alignment horizontal="center" vertical="center"/>
    </xf>
    <xf numFmtId="49" fontId="24" fillId="12" borderId="59" xfId="0" applyNumberFormat="1" applyFont="1" applyFill="1" applyBorder="1" applyAlignment="1">
      <alignment horizontal="center" vertical="center"/>
    </xf>
    <xf numFmtId="49" fontId="24" fillId="12" borderId="5" xfId="0" applyNumberFormat="1" applyFont="1" applyFill="1" applyBorder="1"/>
    <xf numFmtId="0" fontId="24" fillId="12" borderId="5" xfId="0" applyFont="1" applyFill="1" applyBorder="1"/>
    <xf numFmtId="0" fontId="24" fillId="12" borderId="19" xfId="0" applyFont="1" applyFill="1" applyBorder="1"/>
    <xf numFmtId="2" fontId="24" fillId="0" borderId="63" xfId="0" applyNumberFormat="1" applyFont="1" applyBorder="1" applyAlignment="1">
      <alignment horizontal="center" vertical="center"/>
    </xf>
    <xf numFmtId="164" fontId="24" fillId="13" borderId="33" xfId="0" applyNumberFormat="1" applyFont="1" applyFill="1" applyBorder="1" applyAlignment="1">
      <alignment horizontal="center" vertical="center"/>
    </xf>
    <xf numFmtId="164" fontId="24" fillId="13" borderId="32" xfId="0" applyNumberFormat="1" applyFont="1" applyFill="1" applyBorder="1" applyAlignment="1">
      <alignment horizontal="center" vertical="center"/>
    </xf>
    <xf numFmtId="164" fontId="24" fillId="13" borderId="31" xfId="0" applyNumberFormat="1" applyFont="1" applyFill="1" applyBorder="1" applyAlignment="1">
      <alignment horizontal="center" vertical="center"/>
    </xf>
    <xf numFmtId="0" fontId="24" fillId="12" borderId="56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2" fontId="24" fillId="0" borderId="0" xfId="0" applyNumberFormat="1" applyFont="1" applyAlignment="1">
      <alignment vertical="center"/>
    </xf>
    <xf numFmtId="164" fontId="24" fillId="3" borderId="33" xfId="0" applyNumberFormat="1" applyFont="1" applyFill="1" applyBorder="1" applyAlignment="1">
      <alignment horizontal="center"/>
    </xf>
    <xf numFmtId="164" fontId="24" fillId="3" borderId="32" xfId="0" applyNumberFormat="1" applyFont="1" applyFill="1" applyBorder="1" applyAlignment="1">
      <alignment horizontal="center"/>
    </xf>
    <xf numFmtId="164" fontId="24" fillId="3" borderId="31" xfId="0" applyNumberFormat="1" applyFont="1" applyFill="1" applyBorder="1" applyAlignment="1">
      <alignment horizontal="center"/>
    </xf>
    <xf numFmtId="164" fontId="24" fillId="3" borderId="59" xfId="0" applyNumberFormat="1" applyFont="1" applyFill="1" applyBorder="1" applyAlignment="1">
      <alignment horizontal="center"/>
    </xf>
    <xf numFmtId="164" fontId="24" fillId="3" borderId="11" xfId="0" applyNumberFormat="1" applyFont="1" applyFill="1" applyBorder="1" applyAlignment="1">
      <alignment horizontal="center"/>
    </xf>
    <xf numFmtId="164" fontId="24" fillId="3" borderId="30" xfId="0" applyNumberFormat="1" applyFont="1" applyFill="1" applyBorder="1" applyAlignment="1">
      <alignment horizontal="center"/>
    </xf>
    <xf numFmtId="164" fontId="24" fillId="0" borderId="34" xfId="0" applyNumberFormat="1" applyFont="1" applyBorder="1" applyAlignment="1">
      <alignment horizontal="center" vertical="center"/>
    </xf>
    <xf numFmtId="0" fontId="29" fillId="0" borderId="25" xfId="0" applyFont="1" applyBorder="1" applyAlignment="1">
      <alignment horizontal="center" vertical="center" wrapText="1"/>
    </xf>
    <xf numFmtId="2" fontId="24" fillId="0" borderId="59" xfId="0" applyNumberFormat="1" applyFont="1" applyFill="1" applyBorder="1" applyAlignment="1">
      <alignment horizontal="center"/>
    </xf>
    <xf numFmtId="2" fontId="24" fillId="3" borderId="37" xfId="0" applyNumberFormat="1" applyFont="1" applyFill="1" applyBorder="1" applyAlignment="1">
      <alignment horizontal="center" vertical="center"/>
    </xf>
    <xf numFmtId="0" fontId="24" fillId="0" borderId="20" xfId="0" applyFont="1" applyBorder="1"/>
    <xf numFmtId="2" fontId="24" fillId="0" borderId="55" xfId="0" applyNumberFormat="1" applyFont="1" applyBorder="1" applyAlignment="1">
      <alignment horizontal="center" vertical="center"/>
    </xf>
    <xf numFmtId="0" fontId="29" fillId="12" borderId="9" xfId="0" applyFont="1" applyFill="1" applyBorder="1" applyAlignment="1">
      <alignment horizontal="center" vertical="center"/>
    </xf>
    <xf numFmtId="0" fontId="23" fillId="10" borderId="56" xfId="0" applyFont="1" applyFill="1" applyBorder="1" applyAlignment="1">
      <alignment horizontal="center" vertical="center"/>
    </xf>
    <xf numFmtId="0" fontId="23" fillId="10" borderId="54" xfId="0" applyFont="1" applyFill="1" applyBorder="1" applyAlignment="1">
      <alignment horizontal="center" vertical="center"/>
    </xf>
    <xf numFmtId="0" fontId="23" fillId="10" borderId="55" xfId="0" applyFont="1" applyFill="1" applyBorder="1" applyAlignment="1">
      <alignment horizontal="center" vertical="center"/>
    </xf>
    <xf numFmtId="0" fontId="24" fillId="12" borderId="25" xfId="0" applyFont="1" applyFill="1" applyBorder="1" applyAlignment="1">
      <alignment horizontal="center" vertical="center"/>
    </xf>
    <xf numFmtId="0" fontId="24" fillId="12" borderId="26" xfId="0" applyFont="1" applyFill="1" applyBorder="1" applyAlignment="1">
      <alignment horizontal="center" vertical="center"/>
    </xf>
    <xf numFmtId="0" fontId="24" fillId="12" borderId="24" xfId="0" applyFont="1" applyFill="1" applyBorder="1" applyAlignment="1">
      <alignment horizontal="center" vertical="center"/>
    </xf>
    <xf numFmtId="0" fontId="24" fillId="0" borderId="0" xfId="0" applyFont="1" applyProtection="1"/>
    <xf numFmtId="0" fontId="29" fillId="5" borderId="83" xfId="0" applyFont="1" applyFill="1" applyBorder="1" applyAlignment="1" applyProtection="1">
      <alignment horizontal="left" vertical="center" wrapText="1"/>
    </xf>
    <xf numFmtId="0" fontId="24" fillId="5" borderId="44" xfId="0" applyFont="1" applyFill="1" applyBorder="1" applyAlignment="1" applyProtection="1">
      <alignment horizontal="left" vertical="center" wrapText="1"/>
      <protection locked="0"/>
    </xf>
    <xf numFmtId="14" fontId="29" fillId="0" borderId="86" xfId="0" applyNumberFormat="1" applyFont="1" applyBorder="1" applyAlignment="1" applyProtection="1">
      <alignment horizontal="left" vertical="center" wrapText="1"/>
      <protection locked="0"/>
    </xf>
    <xf numFmtId="0" fontId="31" fillId="0" borderId="0" xfId="0" applyFont="1" applyBorder="1" applyAlignment="1" applyProtection="1">
      <alignment vertical="center" wrapText="1"/>
    </xf>
    <xf numFmtId="164" fontId="24" fillId="0" borderId="21" xfId="0" applyNumberFormat="1" applyFont="1" applyBorder="1" applyAlignment="1">
      <alignment horizontal="center" vertical="center"/>
    </xf>
    <xf numFmtId="164" fontId="24" fillId="0" borderId="23" xfId="0" applyNumberFormat="1" applyFont="1" applyBorder="1" applyAlignment="1">
      <alignment horizontal="center" vertical="center"/>
    </xf>
    <xf numFmtId="1" fontId="24" fillId="0" borderId="22" xfId="0" applyNumberFormat="1" applyFont="1" applyBorder="1" applyAlignment="1">
      <alignment horizontal="center" vertical="center"/>
    </xf>
    <xf numFmtId="164" fontId="24" fillId="0" borderId="22" xfId="0" applyNumberFormat="1" applyFont="1" applyBorder="1" applyAlignment="1">
      <alignment horizontal="center" vertical="center"/>
    </xf>
    <xf numFmtId="0" fontId="29" fillId="5" borderId="0" xfId="0" applyFont="1" applyFill="1" applyBorder="1" applyAlignment="1" applyProtection="1">
      <alignment horizontal="left" vertical="center" wrapText="1"/>
    </xf>
    <xf numFmtId="0" fontId="32" fillId="5" borderId="0" xfId="0" applyFont="1" applyFill="1" applyBorder="1" applyAlignment="1" applyProtection="1">
      <alignment horizontal="left" vertical="center"/>
    </xf>
    <xf numFmtId="0" fontId="29" fillId="5" borderId="0" xfId="0" applyFont="1" applyFill="1" applyBorder="1" applyAlignment="1" applyProtection="1">
      <alignment horizontal="left" vertical="center"/>
    </xf>
    <xf numFmtId="0" fontId="25" fillId="5" borderId="0" xfId="0" applyFont="1" applyFill="1" applyBorder="1" applyAlignment="1" applyProtection="1">
      <alignment horizontal="left" vertical="center"/>
    </xf>
    <xf numFmtId="14" fontId="29" fillId="0" borderId="0" xfId="0" applyNumberFormat="1" applyFont="1" applyBorder="1" applyAlignment="1" applyProtection="1">
      <alignment horizontal="left" vertical="center"/>
    </xf>
    <xf numFmtId="0" fontId="16" fillId="0" borderId="0" xfId="0" applyFont="1" applyBorder="1" applyAlignment="1" applyProtection="1">
      <alignment horizontal="center" vertical="center"/>
      <protection hidden="1"/>
    </xf>
    <xf numFmtId="0" fontId="16" fillId="0" borderId="7" xfId="0" applyFont="1" applyBorder="1" applyAlignment="1" applyProtection="1">
      <alignment horizontal="center" vertical="center"/>
      <protection hidden="1"/>
    </xf>
    <xf numFmtId="0" fontId="16" fillId="0" borderId="20" xfId="0" applyFont="1" applyBorder="1" applyAlignment="1" applyProtection="1">
      <alignment horizontal="center" vertical="center"/>
      <protection hidden="1"/>
    </xf>
    <xf numFmtId="164" fontId="24" fillId="0" borderId="59" xfId="0" applyNumberFormat="1" applyFont="1" applyFill="1" applyBorder="1" applyAlignment="1">
      <alignment horizontal="center" vertical="center"/>
    </xf>
    <xf numFmtId="164" fontId="24" fillId="0" borderId="29" xfId="0" applyNumberFormat="1" applyFont="1" applyFill="1" applyBorder="1" applyAlignment="1">
      <alignment horizontal="center" vertical="center"/>
    </xf>
    <xf numFmtId="164" fontId="16" fillId="0" borderId="59" xfId="0" applyNumberFormat="1" applyFont="1" applyFill="1" applyBorder="1" applyAlignment="1">
      <alignment horizontal="center" vertical="center"/>
    </xf>
    <xf numFmtId="0" fontId="29" fillId="10" borderId="56" xfId="0" applyFont="1" applyFill="1" applyBorder="1" applyAlignment="1">
      <alignment horizontal="center" vertical="center"/>
    </xf>
    <xf numFmtId="0" fontId="29" fillId="10" borderId="54" xfId="0" applyFont="1" applyFill="1" applyBorder="1" applyAlignment="1">
      <alignment horizontal="center" vertical="center"/>
    </xf>
    <xf numFmtId="0" fontId="29" fillId="10" borderId="55" xfId="0" applyFont="1" applyFill="1" applyBorder="1" applyAlignment="1">
      <alignment horizontal="center" vertical="center"/>
    </xf>
    <xf numFmtId="0" fontId="24" fillId="0" borderId="0" xfId="0" applyFont="1" applyBorder="1" applyAlignment="1">
      <alignment horizontal="center"/>
    </xf>
    <xf numFmtId="0" fontId="24" fillId="0" borderId="4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27" fillId="10" borderId="8" xfId="0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7" fillId="10" borderId="9" xfId="0" applyFont="1" applyFill="1" applyBorder="1" applyAlignment="1">
      <alignment horizontal="center" vertical="center"/>
    </xf>
    <xf numFmtId="2" fontId="24" fillId="3" borderId="59" xfId="0" applyNumberFormat="1" applyFont="1" applyFill="1" applyBorder="1" applyAlignment="1">
      <alignment horizontal="center" vertical="center"/>
    </xf>
    <xf numFmtId="2" fontId="24" fillId="3" borderId="11" xfId="0" applyNumberFormat="1" applyFont="1" applyFill="1" applyBorder="1" applyAlignment="1">
      <alignment horizontal="center" vertical="center"/>
    </xf>
    <xf numFmtId="0" fontId="24" fillId="3" borderId="77" xfId="0" applyFont="1" applyFill="1" applyBorder="1" applyAlignment="1">
      <alignment horizontal="center" vertical="center"/>
    </xf>
    <xf numFmtId="0" fontId="16" fillId="0" borderId="33" xfId="0" applyFont="1" applyBorder="1" applyAlignment="1">
      <alignment horizontal="center" vertical="center"/>
    </xf>
    <xf numFmtId="2" fontId="16" fillId="0" borderId="32" xfId="0" applyNumberFormat="1" applyFont="1" applyFill="1" applyBorder="1" applyAlignment="1">
      <alignment horizontal="center" vertical="center"/>
    </xf>
    <xf numFmtId="165" fontId="16" fillId="0" borderId="32" xfId="0" applyNumberFormat="1" applyFont="1" applyBorder="1" applyAlignment="1">
      <alignment horizontal="center" vertical="center"/>
    </xf>
    <xf numFmtId="165" fontId="16" fillId="0" borderId="31" xfId="0" applyNumberFormat="1" applyFont="1" applyBorder="1" applyAlignment="1">
      <alignment horizontal="center" vertical="center"/>
    </xf>
    <xf numFmtId="0" fontId="16" fillId="0" borderId="59" xfId="0" applyFont="1" applyBorder="1" applyAlignment="1">
      <alignment horizontal="center" vertical="center"/>
    </xf>
    <xf numFmtId="2" fontId="16" fillId="0" borderId="11" xfId="0" applyNumberFormat="1" applyFont="1" applyFill="1" applyBorder="1" applyAlignment="1">
      <alignment horizontal="center" vertical="center"/>
    </xf>
    <xf numFmtId="165" fontId="16" fillId="0" borderId="11" xfId="0" applyNumberFormat="1" applyFont="1" applyBorder="1" applyAlignment="1">
      <alignment horizontal="center" vertical="center"/>
    </xf>
    <xf numFmtId="165" fontId="16" fillId="0" borderId="30" xfId="0" applyNumberFormat="1" applyFont="1" applyBorder="1" applyAlignment="1">
      <alignment horizontal="center" vertical="center"/>
    </xf>
    <xf numFmtId="0" fontId="16" fillId="0" borderId="33" xfId="0" applyFont="1" applyBorder="1" applyAlignment="1">
      <alignment horizontal="center"/>
    </xf>
    <xf numFmtId="0" fontId="16" fillId="0" borderId="59" xfId="0" applyFont="1" applyBorder="1" applyAlignment="1">
      <alignment horizontal="center"/>
    </xf>
    <xf numFmtId="0" fontId="16" fillId="0" borderId="29" xfId="0" applyFont="1" applyBorder="1" applyAlignment="1">
      <alignment horizontal="center"/>
    </xf>
    <xf numFmtId="0" fontId="16" fillId="0" borderId="19" xfId="0" applyFont="1" applyBorder="1"/>
    <xf numFmtId="0" fontId="16" fillId="0" borderId="6" xfId="0" applyFont="1" applyBorder="1"/>
    <xf numFmtId="0" fontId="29" fillId="0" borderId="7" xfId="0" applyFont="1" applyBorder="1" applyAlignment="1">
      <alignment horizontal="center" vertical="center"/>
    </xf>
    <xf numFmtId="0" fontId="29" fillId="0" borderId="21" xfId="0" applyFont="1" applyBorder="1" applyAlignment="1">
      <alignment horizontal="center"/>
    </xf>
    <xf numFmtId="0" fontId="29" fillId="0" borderId="23" xfId="0" applyFont="1" applyBorder="1" applyAlignment="1">
      <alignment horizontal="center"/>
    </xf>
    <xf numFmtId="0" fontId="29" fillId="0" borderId="22" xfId="0" applyFont="1" applyBorder="1" applyAlignment="1">
      <alignment horizontal="center"/>
    </xf>
    <xf numFmtId="0" fontId="32" fillId="5" borderId="25" xfId="0" applyFont="1" applyFill="1" applyBorder="1" applyAlignment="1">
      <alignment horizontal="center" vertical="center"/>
    </xf>
    <xf numFmtId="0" fontId="32" fillId="5" borderId="26" xfId="0" applyFont="1" applyFill="1" applyBorder="1" applyAlignment="1">
      <alignment horizontal="center" vertical="center"/>
    </xf>
    <xf numFmtId="0" fontId="32" fillId="5" borderId="24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0" fontId="29" fillId="12" borderId="64" xfId="0" applyFont="1" applyFill="1" applyBorder="1" applyAlignment="1">
      <alignment horizontal="center" vertical="center" wrapText="1"/>
    </xf>
    <xf numFmtId="0" fontId="29" fillId="12" borderId="65" xfId="0" applyFont="1" applyFill="1" applyBorder="1" applyAlignment="1">
      <alignment horizontal="center" vertical="center" wrapText="1"/>
    </xf>
    <xf numFmtId="0" fontId="29" fillId="12" borderId="66" xfId="0" applyFont="1" applyFill="1" applyBorder="1" applyAlignment="1">
      <alignment horizontal="center" vertical="center" wrapText="1"/>
    </xf>
    <xf numFmtId="0" fontId="29" fillId="12" borderId="64" xfId="0" applyFont="1" applyFill="1" applyBorder="1" applyAlignment="1">
      <alignment horizontal="center" vertical="center"/>
    </xf>
    <xf numFmtId="0" fontId="29" fillId="12" borderId="65" xfId="0" applyFont="1" applyFill="1" applyBorder="1" applyAlignment="1">
      <alignment horizontal="center" vertical="center"/>
    </xf>
    <xf numFmtId="0" fontId="29" fillId="12" borderId="66" xfId="0" applyFont="1" applyFill="1" applyBorder="1" applyAlignment="1">
      <alignment horizontal="center" vertical="center"/>
    </xf>
    <xf numFmtId="0" fontId="23" fillId="12" borderId="21" xfId="0" applyFont="1" applyFill="1" applyBorder="1" applyAlignment="1">
      <alignment horizontal="center" vertical="center"/>
    </xf>
    <xf numFmtId="0" fontId="23" fillId="12" borderId="21" xfId="0" applyFont="1" applyFill="1" applyBorder="1" applyAlignment="1">
      <alignment horizontal="center" vertical="center" wrapText="1"/>
    </xf>
    <xf numFmtId="0" fontId="23" fillId="10" borderId="25" xfId="0" applyFont="1" applyFill="1" applyBorder="1" applyAlignment="1">
      <alignment horizontal="center" vertical="center"/>
    </xf>
    <xf numFmtId="0" fontId="23" fillId="10" borderId="26" xfId="0" applyFont="1" applyFill="1" applyBorder="1" applyAlignment="1">
      <alignment horizontal="center" vertical="center"/>
    </xf>
    <xf numFmtId="0" fontId="23" fillId="10" borderId="26" xfId="0" applyFont="1" applyFill="1" applyBorder="1" applyAlignment="1">
      <alignment horizontal="center" vertical="center" wrapText="1"/>
    </xf>
    <xf numFmtId="164" fontId="29" fillId="0" borderId="2" xfId="0" applyNumberFormat="1" applyFont="1" applyBorder="1" applyAlignment="1">
      <alignment horizontal="center" vertical="center"/>
    </xf>
    <xf numFmtId="2" fontId="29" fillId="12" borderId="54" xfId="0" applyNumberFormat="1" applyFont="1" applyFill="1" applyBorder="1" applyAlignment="1">
      <alignment horizontal="center" vertical="center"/>
    </xf>
    <xf numFmtId="2" fontId="29" fillId="0" borderId="0" xfId="0" applyNumberFormat="1" applyFont="1" applyFill="1" applyBorder="1" applyAlignment="1">
      <alignment horizontal="center"/>
    </xf>
    <xf numFmtId="0" fontId="23" fillId="10" borderId="24" xfId="0" applyFont="1" applyFill="1" applyBorder="1" applyAlignment="1">
      <alignment horizontal="center" vertical="center"/>
    </xf>
    <xf numFmtId="0" fontId="29" fillId="12" borderId="68" xfId="0" applyFont="1" applyFill="1" applyBorder="1" applyAlignment="1">
      <alignment horizontal="center" vertical="center"/>
    </xf>
    <xf numFmtId="0" fontId="29" fillId="12" borderId="69" xfId="0" applyFont="1" applyFill="1" applyBorder="1" applyAlignment="1">
      <alignment horizontal="center" vertical="center"/>
    </xf>
    <xf numFmtId="0" fontId="29" fillId="12" borderId="70" xfId="0" applyFont="1" applyFill="1" applyBorder="1" applyAlignment="1">
      <alignment horizontal="center" vertical="center"/>
    </xf>
    <xf numFmtId="0" fontId="29" fillId="12" borderId="71" xfId="0" applyFont="1" applyFill="1" applyBorder="1" applyAlignment="1">
      <alignment horizontal="center" vertical="center"/>
    </xf>
    <xf numFmtId="0" fontId="0" fillId="0" borderId="0" xfId="0" applyFont="1"/>
    <xf numFmtId="0" fontId="29" fillId="12" borderId="56" xfId="0" applyFont="1" applyFill="1" applyBorder="1" applyAlignment="1">
      <alignment horizontal="center" vertical="center"/>
    </xf>
    <xf numFmtId="0" fontId="29" fillId="12" borderId="54" xfId="0" applyFont="1" applyFill="1" applyBorder="1" applyAlignment="1">
      <alignment horizontal="center" vertical="center"/>
    </xf>
    <xf numFmtId="0" fontId="29" fillId="12" borderId="55" xfId="0" applyFont="1" applyFill="1" applyBorder="1" applyAlignment="1">
      <alignment horizontal="center" vertical="center"/>
    </xf>
    <xf numFmtId="0" fontId="29" fillId="0" borderId="0" xfId="0" applyFont="1"/>
    <xf numFmtId="2" fontId="29" fillId="0" borderId="0" xfId="0" applyNumberFormat="1" applyFont="1" applyFill="1" applyBorder="1" applyAlignment="1">
      <alignment horizontal="center" vertical="center"/>
    </xf>
    <xf numFmtId="0" fontId="29" fillId="12" borderId="7" xfId="0" applyFont="1" applyFill="1" applyBorder="1"/>
    <xf numFmtId="2" fontId="29" fillId="11" borderId="7" xfId="0" applyNumberFormat="1" applyFont="1" applyFill="1" applyBorder="1" applyAlignment="1">
      <alignment horizontal="center" vertical="center"/>
    </xf>
    <xf numFmtId="0" fontId="29" fillId="12" borderId="57" xfId="0" applyFont="1" applyFill="1" applyBorder="1" applyAlignment="1">
      <alignment horizontal="center" vertical="center"/>
    </xf>
    <xf numFmtId="0" fontId="29" fillId="12" borderId="13" xfId="0" applyFont="1" applyFill="1" applyBorder="1" applyAlignment="1">
      <alignment horizontal="center" vertical="center"/>
    </xf>
    <xf numFmtId="0" fontId="29" fillId="12" borderId="59" xfId="0" applyFont="1" applyFill="1" applyBorder="1" applyAlignment="1">
      <alignment horizontal="center" vertical="center"/>
    </xf>
    <xf numFmtId="0" fontId="29" fillId="12" borderId="11" xfId="0" applyFont="1" applyFill="1" applyBorder="1" applyAlignment="1">
      <alignment horizontal="center" vertical="center"/>
    </xf>
    <xf numFmtId="0" fontId="29" fillId="12" borderId="64" xfId="0" applyFont="1" applyFill="1" applyBorder="1" applyAlignment="1">
      <alignment horizontal="center"/>
    </xf>
    <xf numFmtId="0" fontId="29" fillId="12" borderId="65" xfId="0" applyFont="1" applyFill="1" applyBorder="1" applyAlignment="1">
      <alignment horizontal="center"/>
    </xf>
    <xf numFmtId="0" fontId="29" fillId="12" borderId="66" xfId="0" applyFont="1" applyFill="1" applyBorder="1" applyAlignment="1">
      <alignment horizontal="center"/>
    </xf>
    <xf numFmtId="0" fontId="35" fillId="0" borderId="0" xfId="0" applyFont="1" applyFill="1" applyBorder="1" applyAlignment="1">
      <alignment horizontal="center"/>
    </xf>
    <xf numFmtId="0" fontId="29" fillId="12" borderId="25" xfId="0" applyFont="1" applyFill="1" applyBorder="1" applyAlignment="1">
      <alignment horizontal="center" vertical="center"/>
    </xf>
    <xf numFmtId="0" fontId="29" fillId="12" borderId="26" xfId="0" applyFont="1" applyFill="1" applyBorder="1" applyAlignment="1">
      <alignment horizontal="center" vertical="center"/>
    </xf>
    <xf numFmtId="0" fontId="29" fillId="12" borderId="24" xfId="0" applyFont="1" applyFill="1" applyBorder="1" applyAlignment="1">
      <alignment horizontal="center" vertical="center"/>
    </xf>
    <xf numFmtId="0" fontId="29" fillId="0" borderId="24" xfId="0" applyFont="1" applyBorder="1" applyAlignment="1">
      <alignment horizontal="center" vertical="center" wrapText="1"/>
    </xf>
    <xf numFmtId="0" fontId="29" fillId="0" borderId="25" xfId="0" applyFont="1" applyBorder="1" applyAlignment="1">
      <alignment horizontal="center" vertical="center"/>
    </xf>
    <xf numFmtId="0" fontId="29" fillId="0" borderId="0" xfId="0" applyFont="1" applyBorder="1"/>
    <xf numFmtId="166" fontId="29" fillId="0" borderId="21" xfId="0" applyNumberFormat="1" applyFont="1" applyBorder="1" applyAlignment="1">
      <alignment horizontal="center" vertical="center"/>
    </xf>
    <xf numFmtId="164" fontId="29" fillId="0" borderId="21" xfId="0" applyNumberFormat="1" applyFont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0" fontId="29" fillId="0" borderId="21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2" fontId="29" fillId="0" borderId="21" xfId="0" applyNumberFormat="1" applyFont="1" applyBorder="1" applyAlignment="1">
      <alignment horizontal="center" vertical="center"/>
    </xf>
    <xf numFmtId="0" fontId="29" fillId="0" borderId="22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2" fontId="29" fillId="0" borderId="7" xfId="0" applyNumberFormat="1" applyFont="1" applyBorder="1" applyAlignment="1">
      <alignment horizontal="center" vertical="center"/>
    </xf>
    <xf numFmtId="0" fontId="29" fillId="0" borderId="4" xfId="0" applyFont="1" applyBorder="1" applyAlignment="1">
      <alignment horizontal="center" vertical="center"/>
    </xf>
    <xf numFmtId="0" fontId="29" fillId="12" borderId="21" xfId="0" applyFont="1" applyFill="1" applyBorder="1" applyAlignment="1">
      <alignment horizontal="center" vertical="center"/>
    </xf>
    <xf numFmtId="164" fontId="29" fillId="12" borderId="22" xfId="0" applyNumberFormat="1" applyFont="1" applyFill="1" applyBorder="1" applyAlignment="1">
      <alignment horizontal="center" vertical="center"/>
    </xf>
    <xf numFmtId="165" fontId="29" fillId="12" borderId="21" xfId="0" applyNumberFormat="1" applyFont="1" applyFill="1" applyBorder="1" applyAlignment="1">
      <alignment horizontal="center" vertical="center"/>
    </xf>
    <xf numFmtId="0" fontId="29" fillId="0" borderId="0" xfId="0" applyFont="1" applyBorder="1" applyAlignment="1">
      <alignment vertical="center"/>
    </xf>
    <xf numFmtId="0" fontId="29" fillId="12" borderId="7" xfId="0" applyFont="1" applyFill="1" applyBorder="1" applyAlignment="1">
      <alignment horizontal="center" vertical="center"/>
    </xf>
    <xf numFmtId="165" fontId="29" fillId="12" borderId="22" xfId="0" applyNumberFormat="1" applyFont="1" applyFill="1" applyBorder="1" applyAlignment="1">
      <alignment horizontal="center" vertical="center"/>
    </xf>
    <xf numFmtId="0" fontId="29" fillId="12" borderId="23" xfId="0" applyFont="1" applyFill="1" applyBorder="1" applyAlignment="1">
      <alignment horizontal="center" vertical="center"/>
    </xf>
    <xf numFmtId="0" fontId="29" fillId="12" borderId="4" xfId="0" applyFont="1" applyFill="1" applyBorder="1" applyAlignment="1">
      <alignment horizontal="center" vertical="center"/>
    </xf>
    <xf numFmtId="0" fontId="29" fillId="12" borderId="22" xfId="0" applyFont="1" applyFill="1" applyBorder="1" applyAlignment="1">
      <alignment horizontal="center" vertical="center"/>
    </xf>
    <xf numFmtId="0" fontId="29" fillId="12" borderId="6" xfId="0" applyFont="1" applyFill="1" applyBorder="1" applyAlignment="1">
      <alignment horizontal="center" vertical="center"/>
    </xf>
    <xf numFmtId="164" fontId="29" fillId="10" borderId="56" xfId="0" applyNumberFormat="1" applyFont="1" applyFill="1" applyBorder="1" applyAlignment="1">
      <alignment horizontal="center" vertical="center"/>
    </xf>
    <xf numFmtId="165" fontId="29" fillId="12" borderId="2" xfId="0" applyNumberFormat="1" applyFont="1" applyFill="1" applyBorder="1" applyAlignment="1">
      <alignment horizontal="center" vertical="center"/>
    </xf>
    <xf numFmtId="165" fontId="29" fillId="12" borderId="6" xfId="0" applyNumberFormat="1" applyFont="1" applyFill="1" applyBorder="1" applyAlignment="1">
      <alignment horizontal="center" vertical="center"/>
    </xf>
    <xf numFmtId="0" fontId="29" fillId="12" borderId="33" xfId="0" applyFont="1" applyFill="1" applyBorder="1" applyAlignment="1">
      <alignment horizontal="center" vertical="center"/>
    </xf>
    <xf numFmtId="2" fontId="29" fillId="12" borderId="32" xfId="0" applyNumberFormat="1" applyFont="1" applyFill="1" applyBorder="1" applyAlignment="1">
      <alignment horizontal="center"/>
    </xf>
    <xf numFmtId="2" fontId="29" fillId="12" borderId="31" xfId="0" applyNumberFormat="1" applyFont="1" applyFill="1" applyBorder="1" applyAlignment="1">
      <alignment horizontal="center"/>
    </xf>
    <xf numFmtId="0" fontId="29" fillId="12" borderId="60" xfId="0" applyFont="1" applyFill="1" applyBorder="1" applyAlignment="1">
      <alignment horizontal="center" vertical="center"/>
    </xf>
    <xf numFmtId="0" fontId="29" fillId="10" borderId="22" xfId="0" applyFont="1" applyFill="1" applyBorder="1" applyAlignment="1">
      <alignment horizontal="center" vertical="center"/>
    </xf>
    <xf numFmtId="164" fontId="16" fillId="0" borderId="33" xfId="0" applyNumberFormat="1" applyFont="1" applyFill="1" applyBorder="1" applyAlignment="1">
      <alignment horizontal="center" vertical="center"/>
    </xf>
    <xf numFmtId="164" fontId="16" fillId="0" borderId="32" xfId="0" applyNumberFormat="1" applyFont="1" applyFill="1" applyBorder="1" applyAlignment="1">
      <alignment horizontal="center" vertical="center"/>
    </xf>
    <xf numFmtId="164" fontId="16" fillId="0" borderId="31" xfId="0" applyNumberFormat="1" applyFont="1" applyFill="1" applyBorder="1" applyAlignment="1">
      <alignment horizontal="center" vertical="center"/>
    </xf>
    <xf numFmtId="164" fontId="16" fillId="0" borderId="11" xfId="0" applyNumberFormat="1" applyFont="1" applyFill="1" applyBorder="1" applyAlignment="1">
      <alignment horizontal="center" vertical="center"/>
    </xf>
    <xf numFmtId="164" fontId="16" fillId="0" borderId="30" xfId="0" applyNumberFormat="1" applyFont="1" applyFill="1" applyBorder="1" applyAlignment="1">
      <alignment horizontal="center" vertical="center"/>
    </xf>
    <xf numFmtId="164" fontId="16" fillId="0" borderId="57" xfId="0" applyNumberFormat="1" applyFont="1" applyBorder="1" applyAlignment="1">
      <alignment horizontal="center" vertical="center"/>
    </xf>
    <xf numFmtId="164" fontId="16" fillId="0" borderId="13" xfId="0" applyNumberFormat="1" applyFont="1" applyBorder="1" applyAlignment="1">
      <alignment horizontal="center" vertical="center"/>
    </xf>
    <xf numFmtId="164" fontId="16" fillId="0" borderId="58" xfId="0" applyNumberFormat="1" applyFont="1" applyBorder="1" applyAlignment="1">
      <alignment horizontal="center" vertical="center"/>
    </xf>
    <xf numFmtId="164" fontId="16" fillId="0" borderId="59" xfId="0" applyNumberFormat="1" applyFont="1" applyBorder="1" applyAlignment="1">
      <alignment horizontal="center" vertical="center"/>
    </xf>
    <xf numFmtId="164" fontId="16" fillId="0" borderId="11" xfId="0" applyNumberFormat="1" applyFont="1" applyBorder="1" applyAlignment="1">
      <alignment horizontal="center" vertical="center"/>
    </xf>
    <xf numFmtId="164" fontId="16" fillId="0" borderId="30" xfId="0" applyNumberFormat="1" applyFont="1" applyBorder="1" applyAlignment="1">
      <alignment horizontal="center" vertical="center"/>
    </xf>
    <xf numFmtId="164" fontId="16" fillId="0" borderId="29" xfId="0" applyNumberFormat="1" applyFont="1" applyBorder="1" applyAlignment="1">
      <alignment horizontal="center" vertical="center"/>
    </xf>
    <xf numFmtId="164" fontId="16" fillId="0" borderId="28" xfId="0" applyNumberFormat="1" applyFont="1" applyBorder="1" applyAlignment="1">
      <alignment horizontal="center" vertical="center"/>
    </xf>
    <xf numFmtId="164" fontId="16" fillId="0" borderId="27" xfId="0" applyNumberFormat="1" applyFont="1" applyBorder="1" applyAlignment="1">
      <alignment horizontal="center" vertical="center"/>
    </xf>
    <xf numFmtId="1" fontId="16" fillId="0" borderId="32" xfId="0" applyNumberFormat="1" applyFont="1" applyFill="1" applyBorder="1" applyAlignment="1">
      <alignment horizontal="center" vertical="center"/>
    </xf>
    <xf numFmtId="0" fontId="32" fillId="0" borderId="31" xfId="0" applyFont="1" applyBorder="1" applyAlignment="1">
      <alignment horizontal="center" vertical="center"/>
    </xf>
    <xf numFmtId="1" fontId="16" fillId="0" borderId="11" xfId="0" applyNumberFormat="1" applyFont="1" applyFill="1" applyBorder="1" applyAlignment="1">
      <alignment horizontal="center" vertical="center"/>
    </xf>
    <xf numFmtId="0" fontId="32" fillId="0" borderId="30" xfId="0" applyFont="1" applyBorder="1" applyAlignment="1">
      <alignment horizontal="center" vertical="center"/>
    </xf>
    <xf numFmtId="0" fontId="32" fillId="0" borderId="61" xfId="0" applyFont="1" applyBorder="1" applyAlignment="1">
      <alignment horizontal="center" vertical="center"/>
    </xf>
    <xf numFmtId="164" fontId="16" fillId="0" borderId="14" xfId="0" applyNumberFormat="1" applyFont="1" applyFill="1" applyBorder="1" applyAlignment="1">
      <alignment horizontal="center" vertical="center"/>
    </xf>
    <xf numFmtId="0" fontId="32" fillId="11" borderId="7" xfId="0" applyFont="1" applyFill="1" applyBorder="1" applyAlignment="1">
      <alignment horizontal="center" vertical="center"/>
    </xf>
    <xf numFmtId="0" fontId="32" fillId="0" borderId="58" xfId="0" applyFont="1" applyBorder="1" applyAlignment="1">
      <alignment horizontal="center" vertical="center"/>
    </xf>
    <xf numFmtId="1" fontId="16" fillId="0" borderId="28" xfId="0" applyNumberFormat="1" applyFont="1" applyFill="1" applyBorder="1" applyAlignment="1">
      <alignment horizontal="center" vertical="center"/>
    </xf>
    <xf numFmtId="164" fontId="16" fillId="0" borderId="28" xfId="0" applyNumberFormat="1" applyFont="1" applyFill="1" applyBorder="1" applyAlignment="1">
      <alignment horizontal="center" vertical="center"/>
    </xf>
    <xf numFmtId="0" fontId="32" fillId="0" borderId="27" xfId="0" applyFont="1" applyBorder="1" applyAlignment="1">
      <alignment horizontal="center" vertical="center"/>
    </xf>
    <xf numFmtId="0" fontId="29" fillId="12" borderId="33" xfId="0" applyFont="1" applyFill="1" applyBorder="1" applyAlignment="1">
      <alignment horizontal="center" vertical="center"/>
    </xf>
    <xf numFmtId="0" fontId="29" fillId="12" borderId="32" xfId="0" applyFont="1" applyFill="1" applyBorder="1" applyAlignment="1">
      <alignment horizontal="center" vertical="center"/>
    </xf>
    <xf numFmtId="0" fontId="29" fillId="12" borderId="31" xfId="0" applyFont="1" applyFill="1" applyBorder="1" applyAlignment="1">
      <alignment horizontal="center" vertical="center"/>
    </xf>
    <xf numFmtId="2" fontId="24" fillId="0" borderId="74" xfId="0" applyNumberFormat="1" applyFont="1" applyBorder="1" applyAlignment="1">
      <alignment horizontal="center" vertical="center"/>
    </xf>
    <xf numFmtId="0" fontId="23" fillId="10" borderId="35" xfId="0" applyFont="1" applyFill="1" applyBorder="1" applyAlignment="1">
      <alignment horizontal="center" vertical="center"/>
    </xf>
    <xf numFmtId="2" fontId="29" fillId="0" borderId="23" xfId="0" applyNumberFormat="1" applyFont="1" applyBorder="1" applyAlignment="1">
      <alignment horizontal="center" vertical="center"/>
    </xf>
    <xf numFmtId="10" fontId="29" fillId="0" borderId="22" xfId="1" applyNumberFormat="1" applyFont="1" applyBorder="1" applyAlignment="1">
      <alignment horizontal="center" vertical="center"/>
    </xf>
    <xf numFmtId="164" fontId="24" fillId="16" borderId="30" xfId="0" applyNumberFormat="1" applyFont="1" applyFill="1" applyBorder="1" applyAlignment="1">
      <alignment horizontal="center"/>
    </xf>
    <xf numFmtId="164" fontId="24" fillId="16" borderId="33" xfId="0" applyNumberFormat="1" applyFont="1" applyFill="1" applyBorder="1" applyAlignment="1">
      <alignment horizontal="center"/>
    </xf>
    <xf numFmtId="164" fontId="24" fillId="16" borderId="32" xfId="0" applyNumberFormat="1" applyFont="1" applyFill="1" applyBorder="1" applyAlignment="1">
      <alignment horizontal="center"/>
    </xf>
    <xf numFmtId="164" fontId="24" fillId="16" borderId="31" xfId="0" applyNumberFormat="1" applyFont="1" applyFill="1" applyBorder="1" applyAlignment="1">
      <alignment horizontal="center"/>
    </xf>
    <xf numFmtId="164" fontId="24" fillId="16" borderId="59" xfId="0" applyNumberFormat="1" applyFont="1" applyFill="1" applyBorder="1" applyAlignment="1">
      <alignment horizontal="center"/>
    </xf>
    <xf numFmtId="164" fontId="24" fillId="16" borderId="11" xfId="0" applyNumberFormat="1" applyFont="1" applyFill="1" applyBorder="1" applyAlignment="1">
      <alignment horizontal="center"/>
    </xf>
    <xf numFmtId="164" fontId="24" fillId="3" borderId="29" xfId="0" applyNumberFormat="1" applyFont="1" applyFill="1" applyBorder="1" applyAlignment="1">
      <alignment horizontal="center"/>
    </xf>
    <xf numFmtId="164" fontId="24" fillId="3" borderId="28" xfId="0" applyNumberFormat="1" applyFont="1" applyFill="1" applyBorder="1" applyAlignment="1">
      <alignment horizontal="center"/>
    </xf>
    <xf numFmtId="164" fontId="24" fillId="3" borderId="27" xfId="0" applyNumberFormat="1" applyFont="1" applyFill="1" applyBorder="1" applyAlignment="1">
      <alignment horizontal="center"/>
    </xf>
    <xf numFmtId="164" fontId="24" fillId="16" borderId="29" xfId="0" applyNumberFormat="1" applyFont="1" applyFill="1" applyBorder="1" applyAlignment="1">
      <alignment horizontal="center"/>
    </xf>
    <xf numFmtId="164" fontId="24" fillId="16" borderId="28" xfId="0" applyNumberFormat="1" applyFont="1" applyFill="1" applyBorder="1" applyAlignment="1">
      <alignment horizontal="center"/>
    </xf>
    <xf numFmtId="164" fontId="24" fillId="16" borderId="27" xfId="0" applyNumberFormat="1" applyFont="1" applyFill="1" applyBorder="1" applyAlignment="1">
      <alignment horizontal="center"/>
    </xf>
    <xf numFmtId="2" fontId="16" fillId="5" borderId="31" xfId="0" applyNumberFormat="1" applyFont="1" applyFill="1" applyBorder="1" applyAlignment="1">
      <alignment horizontal="center"/>
    </xf>
    <xf numFmtId="2" fontId="16" fillId="5" borderId="30" xfId="0" applyNumberFormat="1" applyFont="1" applyFill="1" applyBorder="1" applyAlignment="1">
      <alignment horizontal="center"/>
    </xf>
    <xf numFmtId="2" fontId="16" fillId="5" borderId="27" xfId="0" applyNumberFormat="1" applyFont="1" applyFill="1" applyBorder="1" applyAlignment="1">
      <alignment horizontal="center"/>
    </xf>
    <xf numFmtId="0" fontId="23" fillId="5" borderId="0" xfId="0" applyFont="1" applyFill="1" applyBorder="1" applyAlignment="1">
      <alignment horizontal="justify" vertical="center" wrapText="1"/>
    </xf>
    <xf numFmtId="2" fontId="16" fillId="0" borderId="11" xfId="0" applyNumberFormat="1" applyFont="1" applyBorder="1" applyAlignment="1">
      <alignment horizontal="center" vertical="center"/>
    </xf>
    <xf numFmtId="2" fontId="16" fillId="5" borderId="30" xfId="0" applyNumberFormat="1" applyFont="1" applyFill="1" applyBorder="1" applyAlignment="1">
      <alignment horizontal="center" vertical="center"/>
    </xf>
    <xf numFmtId="0" fontId="23" fillId="12" borderId="12" xfId="0" applyFont="1" applyFill="1" applyBorder="1" applyAlignment="1">
      <alignment horizontal="center" vertical="center"/>
    </xf>
    <xf numFmtId="0" fontId="23" fillId="12" borderId="12" xfId="0" applyFont="1" applyFill="1" applyBorder="1" applyAlignment="1">
      <alignment vertical="center"/>
    </xf>
    <xf numFmtId="0" fontId="23" fillId="12" borderId="12" xfId="0" applyFont="1" applyFill="1" applyBorder="1" applyAlignment="1">
      <alignment vertical="center" wrapText="1"/>
    </xf>
    <xf numFmtId="2" fontId="16" fillId="0" borderId="32" xfId="0" applyNumberFormat="1" applyFont="1" applyBorder="1" applyAlignment="1">
      <alignment horizontal="center" vertical="center"/>
    </xf>
    <xf numFmtId="2" fontId="16" fillId="0" borderId="28" xfId="0" applyNumberFormat="1" applyFont="1" applyBorder="1" applyAlignment="1">
      <alignment horizontal="center" vertical="center"/>
    </xf>
    <xf numFmtId="164" fontId="24" fillId="0" borderId="76" xfId="0" applyNumberFormat="1" applyFont="1" applyBorder="1" applyAlignment="1">
      <alignment horizontal="center" vertical="center"/>
    </xf>
    <xf numFmtId="164" fontId="29" fillId="0" borderId="23" xfId="0" applyNumberFormat="1" applyFont="1" applyBorder="1" applyAlignment="1">
      <alignment horizontal="center" vertical="center"/>
    </xf>
    <xf numFmtId="167" fontId="24" fillId="0" borderId="56" xfId="1" applyNumberFormat="1" applyFont="1" applyBorder="1" applyAlignment="1">
      <alignment horizontal="center" vertical="center"/>
    </xf>
    <xf numFmtId="167" fontId="24" fillId="0" borderId="54" xfId="1" applyNumberFormat="1" applyFont="1" applyBorder="1" applyAlignment="1">
      <alignment horizontal="center" vertical="center"/>
    </xf>
    <xf numFmtId="167" fontId="24" fillId="0" borderId="55" xfId="1" applyNumberFormat="1" applyFont="1" applyBorder="1" applyAlignment="1">
      <alignment horizontal="center" vertical="center"/>
    </xf>
    <xf numFmtId="166" fontId="29" fillId="11" borderId="4" xfId="0" applyNumberFormat="1" applyFont="1" applyFill="1" applyBorder="1" applyAlignment="1">
      <alignment horizontal="center" vertical="center"/>
    </xf>
    <xf numFmtId="165" fontId="29" fillId="11" borderId="7" xfId="0" applyNumberFormat="1" applyFont="1" applyFill="1" applyBorder="1" applyAlignment="1">
      <alignment horizontal="center" vertical="center"/>
    </xf>
    <xf numFmtId="2" fontId="24" fillId="16" borderId="11" xfId="0" applyNumberFormat="1" applyFont="1" applyFill="1" applyBorder="1" applyAlignment="1">
      <alignment horizontal="center"/>
    </xf>
    <xf numFmtId="2" fontId="24" fillId="16" borderId="59" xfId="0" applyNumberFormat="1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165" fontId="29" fillId="12" borderId="7" xfId="0" applyNumberFormat="1" applyFont="1" applyFill="1" applyBorder="1" applyAlignment="1">
      <alignment horizontal="center" vertical="center"/>
    </xf>
    <xf numFmtId="2" fontId="29" fillId="12" borderId="7" xfId="0" applyNumberFormat="1" applyFont="1" applyFill="1" applyBorder="1" applyAlignment="1">
      <alignment horizontal="center" vertical="center"/>
    </xf>
    <xf numFmtId="165" fontId="24" fillId="11" borderId="13" xfId="0" applyNumberFormat="1" applyFont="1" applyFill="1" applyBorder="1" applyAlignment="1">
      <alignment horizontal="center" vertical="center"/>
    </xf>
    <xf numFmtId="165" fontId="24" fillId="11" borderId="58" xfId="0" applyNumberFormat="1" applyFont="1" applyFill="1" applyBorder="1" applyAlignment="1">
      <alignment horizontal="center" vertical="center"/>
    </xf>
    <xf numFmtId="165" fontId="24" fillId="11" borderId="30" xfId="0" applyNumberFormat="1" applyFont="1" applyFill="1" applyBorder="1" applyAlignment="1">
      <alignment horizontal="center" vertical="center"/>
    </xf>
    <xf numFmtId="169" fontId="29" fillId="12" borderId="12" xfId="0" applyNumberFormat="1" applyFont="1" applyFill="1" applyBorder="1" applyAlignment="1">
      <alignment horizontal="center"/>
    </xf>
    <xf numFmtId="0" fontId="2" fillId="12" borderId="26" xfId="0" applyFont="1" applyFill="1" applyBorder="1" applyAlignment="1">
      <alignment horizontal="center" vertical="center"/>
    </xf>
    <xf numFmtId="165" fontId="24" fillId="0" borderId="56" xfId="0" applyNumberFormat="1" applyFont="1" applyBorder="1" applyAlignment="1">
      <alignment horizontal="center" vertical="center"/>
    </xf>
    <xf numFmtId="165" fontId="24" fillId="0" borderId="54" xfId="0" applyNumberFormat="1" applyFont="1" applyBorder="1" applyAlignment="1">
      <alignment horizontal="center" vertical="center"/>
    </xf>
    <xf numFmtId="165" fontId="24" fillId="0" borderId="55" xfId="0" applyNumberFormat="1" applyFont="1" applyBorder="1" applyAlignment="1">
      <alignment horizontal="center" vertical="center"/>
    </xf>
    <xf numFmtId="164" fontId="24" fillId="0" borderId="29" xfId="0" applyNumberFormat="1" applyFont="1" applyBorder="1" applyAlignment="1">
      <alignment horizontal="center" vertical="center"/>
    </xf>
    <xf numFmtId="164" fontId="24" fillId="0" borderId="28" xfId="0" applyNumberFormat="1" applyFont="1" applyBorder="1" applyAlignment="1">
      <alignment horizontal="center" vertical="center"/>
    </xf>
    <xf numFmtId="164" fontId="24" fillId="0" borderId="27" xfId="0" applyNumberFormat="1" applyFont="1" applyBorder="1" applyAlignment="1">
      <alignment horizontal="center" vertical="center"/>
    </xf>
    <xf numFmtId="164" fontId="29" fillId="10" borderId="0" xfId="0" applyNumberFormat="1" applyFont="1" applyFill="1" applyBorder="1" applyAlignment="1">
      <alignment horizontal="center" vertical="center"/>
    </xf>
    <xf numFmtId="0" fontId="1" fillId="0" borderId="0" xfId="0" applyFont="1"/>
    <xf numFmtId="0" fontId="1" fillId="21" borderId="29" xfId="0" applyFont="1" applyFill="1" applyBorder="1" applyAlignment="1">
      <alignment horizontal="center" vertical="center"/>
    </xf>
    <xf numFmtId="0" fontId="1" fillId="21" borderId="28" xfId="0" applyFont="1" applyFill="1" applyBorder="1" applyAlignment="1">
      <alignment horizontal="center" vertical="center"/>
    </xf>
    <xf numFmtId="0" fontId="1" fillId="21" borderId="27" xfId="0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6" fillId="0" borderId="0" xfId="0" applyFont="1"/>
    <xf numFmtId="0" fontId="1" fillId="21" borderId="33" xfId="0" applyFont="1" applyFill="1" applyBorder="1" applyAlignment="1">
      <alignment horizontal="center" vertical="center"/>
    </xf>
    <xf numFmtId="0" fontId="1" fillId="21" borderId="32" xfId="0" applyFont="1" applyFill="1" applyBorder="1" applyAlignment="1">
      <alignment horizontal="center" vertical="center"/>
    </xf>
    <xf numFmtId="0" fontId="1" fillId="21" borderId="31" xfId="0" applyFont="1" applyFill="1" applyBorder="1" applyAlignment="1">
      <alignment horizontal="center" vertical="center"/>
    </xf>
    <xf numFmtId="0" fontId="1" fillId="0" borderId="2" xfId="0" applyFont="1" applyBorder="1"/>
    <xf numFmtId="0" fontId="1" fillId="0" borderId="6" xfId="0" applyFont="1" applyBorder="1"/>
    <xf numFmtId="2" fontId="1" fillId="20" borderId="31" xfId="0" applyNumberFormat="1" applyFont="1" applyFill="1" applyBorder="1" applyAlignment="1">
      <alignment horizontal="center" vertical="center"/>
    </xf>
    <xf numFmtId="2" fontId="1" fillId="20" borderId="30" xfId="0" applyNumberFormat="1" applyFont="1" applyFill="1" applyBorder="1" applyAlignment="1">
      <alignment horizontal="center" vertical="center"/>
    </xf>
    <xf numFmtId="0" fontId="1" fillId="20" borderId="30" xfId="0" applyFont="1" applyFill="1" applyBorder="1" applyAlignment="1">
      <alignment horizontal="center" vertical="center"/>
    </xf>
    <xf numFmtId="0" fontId="1" fillId="20" borderId="30" xfId="0" applyFont="1" applyFill="1" applyBorder="1" applyAlignment="1">
      <alignment vertical="center"/>
    </xf>
    <xf numFmtId="0" fontId="29" fillId="20" borderId="59" xfId="0" applyFont="1" applyFill="1" applyBorder="1" applyAlignment="1">
      <alignment horizontal="left" vertical="center" wrapText="1"/>
    </xf>
    <xf numFmtId="0" fontId="0" fillId="0" borderId="0" xfId="0" applyAlignment="1">
      <alignment vertical="center"/>
    </xf>
    <xf numFmtId="0" fontId="29" fillId="20" borderId="33" xfId="0" applyFont="1" applyFill="1" applyBorder="1" applyAlignment="1">
      <alignment horizontal="left" vertical="center" wrapText="1"/>
    </xf>
    <xf numFmtId="0" fontId="29" fillId="12" borderId="29" xfId="0" applyFont="1" applyFill="1" applyBorder="1" applyAlignment="1">
      <alignment horizontal="left" vertical="center" wrapText="1"/>
    </xf>
    <xf numFmtId="165" fontId="29" fillId="12" borderId="27" xfId="0" applyNumberFormat="1" applyFont="1" applyFill="1" applyBorder="1" applyAlignment="1">
      <alignment horizontal="center" vertical="center"/>
    </xf>
    <xf numFmtId="0" fontId="29" fillId="12" borderId="32" xfId="0" applyFont="1" applyFill="1" applyBorder="1" applyAlignment="1">
      <alignment horizontal="center" vertical="center" wrapText="1"/>
    </xf>
    <xf numFmtId="0" fontId="29" fillId="12" borderId="33" xfId="0" applyFont="1" applyFill="1" applyBorder="1" applyAlignment="1">
      <alignment horizontal="center" vertical="center" wrapText="1"/>
    </xf>
    <xf numFmtId="0" fontId="29" fillId="12" borderId="31" xfId="0" applyFont="1" applyFill="1" applyBorder="1" applyAlignment="1">
      <alignment horizontal="center" vertical="center" wrapText="1"/>
    </xf>
    <xf numFmtId="14" fontId="29" fillId="0" borderId="85" xfId="0" applyNumberFormat="1" applyFont="1" applyBorder="1" applyAlignment="1" applyProtection="1">
      <alignment horizontal="left" vertical="center" wrapText="1"/>
      <protection locked="0"/>
    </xf>
    <xf numFmtId="172" fontId="32" fillId="5" borderId="85" xfId="0" applyNumberFormat="1" applyFont="1" applyFill="1" applyBorder="1" applyAlignment="1" applyProtection="1">
      <alignment vertical="center" wrapText="1"/>
      <protection locked="0"/>
    </xf>
    <xf numFmtId="0" fontId="29" fillId="12" borderId="60" xfId="0" applyFont="1" applyFill="1" applyBorder="1" applyAlignment="1">
      <alignment horizontal="center" vertical="center" wrapText="1"/>
    </xf>
    <xf numFmtId="0" fontId="29" fillId="12" borderId="12" xfId="0" applyFont="1" applyFill="1" applyBorder="1" applyAlignment="1">
      <alignment horizontal="center" vertical="center" wrapText="1"/>
    </xf>
    <xf numFmtId="0" fontId="29" fillId="12" borderId="61" xfId="0" applyFont="1" applyFill="1" applyBorder="1" applyAlignment="1">
      <alignment horizontal="center" vertical="center" wrapText="1"/>
    </xf>
    <xf numFmtId="0" fontId="1" fillId="13" borderId="33" xfId="0" applyFont="1" applyFill="1" applyBorder="1" applyAlignment="1">
      <alignment horizontal="center" vertical="center" wrapText="1"/>
    </xf>
    <xf numFmtId="0" fontId="1" fillId="13" borderId="32" xfId="0" applyFont="1" applyFill="1" applyBorder="1" applyAlignment="1">
      <alignment horizontal="center" vertical="center" wrapText="1"/>
    </xf>
    <xf numFmtId="2" fontId="1" fillId="13" borderId="32" xfId="0" applyNumberFormat="1" applyFont="1" applyFill="1" applyBorder="1" applyAlignment="1">
      <alignment horizontal="center" vertical="center" wrapText="1"/>
    </xf>
    <xf numFmtId="166" fontId="1" fillId="13" borderId="32" xfId="0" applyNumberFormat="1" applyFont="1" applyFill="1" applyBorder="1" applyAlignment="1">
      <alignment horizontal="center" vertical="center" wrapText="1"/>
    </xf>
    <xf numFmtId="0" fontId="1" fillId="13" borderId="31" xfId="0" applyFont="1" applyFill="1" applyBorder="1" applyAlignment="1">
      <alignment horizontal="center" vertical="center" wrapText="1"/>
    </xf>
    <xf numFmtId="0" fontId="1" fillId="13" borderId="59" xfId="0" applyFont="1" applyFill="1" applyBorder="1" applyAlignment="1">
      <alignment horizontal="center" vertical="center" wrapText="1"/>
    </xf>
    <xf numFmtId="0" fontId="1" fillId="13" borderId="11" xfId="0" applyFont="1" applyFill="1" applyBorder="1" applyAlignment="1">
      <alignment horizontal="center" vertical="center" wrapText="1"/>
    </xf>
    <xf numFmtId="2" fontId="1" fillId="13" borderId="11" xfId="0" applyNumberFormat="1" applyFont="1" applyFill="1" applyBorder="1" applyAlignment="1">
      <alignment horizontal="center" vertical="center" wrapText="1"/>
    </xf>
    <xf numFmtId="166" fontId="1" fillId="13" borderId="11" xfId="0" applyNumberFormat="1" applyFont="1" applyFill="1" applyBorder="1" applyAlignment="1">
      <alignment horizontal="center" vertical="center" wrapText="1"/>
    </xf>
    <xf numFmtId="0" fontId="1" fillId="13" borderId="30" xfId="0" applyFont="1" applyFill="1" applyBorder="1" applyAlignment="1">
      <alignment horizontal="center" vertical="center" wrapText="1"/>
    </xf>
    <xf numFmtId="0" fontId="1" fillId="13" borderId="29" xfId="0" applyFont="1" applyFill="1" applyBorder="1" applyAlignment="1">
      <alignment horizontal="center" vertical="center" wrapText="1"/>
    </xf>
    <xf numFmtId="0" fontId="1" fillId="13" borderId="28" xfId="0" applyFont="1" applyFill="1" applyBorder="1" applyAlignment="1">
      <alignment horizontal="center" vertical="center" wrapText="1"/>
    </xf>
    <xf numFmtId="2" fontId="1" fillId="13" borderId="28" xfId="0" applyNumberFormat="1" applyFont="1" applyFill="1" applyBorder="1" applyAlignment="1">
      <alignment horizontal="center" vertical="center" wrapText="1"/>
    </xf>
    <xf numFmtId="166" fontId="1" fillId="13" borderId="28" xfId="0" applyNumberFormat="1" applyFont="1" applyFill="1" applyBorder="1" applyAlignment="1">
      <alignment horizontal="center" vertical="center" wrapText="1"/>
    </xf>
    <xf numFmtId="0" fontId="1" fillId="13" borderId="27" xfId="0" applyFont="1" applyFill="1" applyBorder="1" applyAlignment="1">
      <alignment horizontal="center" vertical="center" wrapText="1"/>
    </xf>
    <xf numFmtId="164" fontId="16" fillId="13" borderId="11" xfId="0" applyNumberFormat="1" applyFont="1" applyFill="1" applyBorder="1" applyAlignment="1">
      <alignment horizontal="center" vertical="center" wrapText="1"/>
    </xf>
    <xf numFmtId="164" fontId="1" fillId="13" borderId="11" xfId="0" applyNumberFormat="1" applyFont="1" applyFill="1" applyBorder="1" applyAlignment="1">
      <alignment horizontal="center" vertical="center" wrapText="1"/>
    </xf>
    <xf numFmtId="164" fontId="1" fillId="13" borderId="30" xfId="0" applyNumberFormat="1" applyFont="1" applyFill="1" applyBorder="1" applyAlignment="1">
      <alignment horizontal="center" vertical="center" wrapText="1"/>
    </xf>
    <xf numFmtId="164" fontId="16" fillId="13" borderId="28" xfId="0" applyNumberFormat="1" applyFont="1" applyFill="1" applyBorder="1" applyAlignment="1">
      <alignment horizontal="center" vertical="center" wrapText="1"/>
    </xf>
    <xf numFmtId="164" fontId="1" fillId="13" borderId="28" xfId="0" applyNumberFormat="1" applyFont="1" applyFill="1" applyBorder="1" applyAlignment="1">
      <alignment horizontal="center" vertical="center" wrapText="1"/>
    </xf>
    <xf numFmtId="164" fontId="1" fillId="13" borderId="27" xfId="0" applyNumberFormat="1" applyFont="1" applyFill="1" applyBorder="1" applyAlignment="1">
      <alignment horizontal="center" vertical="center" wrapText="1"/>
    </xf>
    <xf numFmtId="0" fontId="24" fillId="0" borderId="3" xfId="0" applyFont="1" applyBorder="1" applyAlignment="1">
      <alignment horizontal="center"/>
    </xf>
    <xf numFmtId="0" fontId="24" fillId="0" borderId="0" xfId="0" applyFont="1" applyBorder="1" applyAlignment="1">
      <alignment horizontal="center"/>
    </xf>
    <xf numFmtId="0" fontId="24" fillId="0" borderId="4" xfId="0" applyFont="1" applyBorder="1" applyAlignment="1">
      <alignment horizontal="center"/>
    </xf>
    <xf numFmtId="0" fontId="24" fillId="0" borderId="5" xfId="0" applyFont="1" applyBorder="1" applyAlignment="1">
      <alignment horizontal="center"/>
    </xf>
    <xf numFmtId="0" fontId="24" fillId="0" borderId="19" xfId="0" applyFont="1" applyBorder="1" applyAlignment="1">
      <alignment horizontal="center"/>
    </xf>
    <xf numFmtId="0" fontId="24" fillId="0" borderId="6" xfId="0" applyFont="1" applyBorder="1" applyAlignment="1">
      <alignment horizontal="center"/>
    </xf>
    <xf numFmtId="0" fontId="29" fillId="5" borderId="1" xfId="0" applyFont="1" applyFill="1" applyBorder="1" applyAlignment="1" applyProtection="1">
      <alignment horizontal="center" vertical="center" wrapText="1"/>
    </xf>
    <xf numFmtId="0" fontId="29" fillId="5" borderId="20" xfId="0" applyFont="1" applyFill="1" applyBorder="1" applyAlignment="1" applyProtection="1">
      <alignment horizontal="center" vertical="center" wrapText="1"/>
    </xf>
    <xf numFmtId="0" fontId="29" fillId="5" borderId="5" xfId="0" applyFont="1" applyFill="1" applyBorder="1" applyAlignment="1" applyProtection="1">
      <alignment horizontal="center" vertical="center" wrapText="1"/>
    </xf>
    <xf numFmtId="0" fontId="29" fillId="5" borderId="19" xfId="0" applyFont="1" applyFill="1" applyBorder="1" applyAlignment="1" applyProtection="1">
      <alignment horizontal="center" vertical="center" wrapText="1"/>
    </xf>
    <xf numFmtId="14" fontId="29" fillId="0" borderId="1" xfId="0" applyNumberFormat="1" applyFont="1" applyBorder="1" applyAlignment="1" applyProtection="1">
      <alignment horizontal="center" vertical="center" wrapText="1"/>
      <protection locked="0"/>
    </xf>
    <xf numFmtId="14" fontId="29" fillId="0" borderId="20" xfId="0" applyNumberFormat="1" applyFont="1" applyBorder="1" applyAlignment="1" applyProtection="1">
      <alignment horizontal="center" vertical="center" wrapText="1"/>
      <protection locked="0"/>
    </xf>
    <xf numFmtId="14" fontId="29" fillId="0" borderId="2" xfId="0" applyNumberFormat="1" applyFont="1" applyBorder="1" applyAlignment="1" applyProtection="1">
      <alignment horizontal="center" vertical="center" wrapText="1"/>
      <protection locked="0"/>
    </xf>
    <xf numFmtId="14" fontId="29" fillId="0" borderId="5" xfId="0" applyNumberFormat="1" applyFont="1" applyBorder="1" applyAlignment="1" applyProtection="1">
      <alignment horizontal="center" vertical="center" wrapText="1"/>
      <protection locked="0"/>
    </xf>
    <xf numFmtId="14" fontId="29" fillId="0" borderId="19" xfId="0" applyNumberFormat="1" applyFont="1" applyBorder="1" applyAlignment="1" applyProtection="1">
      <alignment horizontal="center" vertical="center" wrapText="1"/>
      <protection locked="0"/>
    </xf>
    <xf numFmtId="14" fontId="29" fillId="0" borderId="6" xfId="0" applyNumberFormat="1" applyFont="1" applyBorder="1" applyAlignment="1" applyProtection="1">
      <alignment horizontal="center" vertical="center" wrapText="1"/>
      <protection locked="0"/>
    </xf>
    <xf numFmtId="0" fontId="24" fillId="0" borderId="68" xfId="0" applyFont="1" applyBorder="1" applyAlignment="1" applyProtection="1">
      <alignment horizontal="center" vertical="center" wrapText="1"/>
    </xf>
    <xf numFmtId="0" fontId="24" fillId="0" borderId="69" xfId="0" applyFont="1" applyBorder="1" applyAlignment="1" applyProtection="1">
      <alignment horizontal="center" vertical="center" wrapText="1"/>
    </xf>
    <xf numFmtId="0" fontId="24" fillId="0" borderId="70" xfId="0" applyFont="1" applyBorder="1" applyAlignment="1" applyProtection="1">
      <alignment horizontal="center" vertical="center" wrapText="1"/>
    </xf>
    <xf numFmtId="0" fontId="24" fillId="0" borderId="80" xfId="0" applyFont="1" applyBorder="1" applyAlignment="1" applyProtection="1">
      <alignment horizontal="center" vertical="center" wrapText="1"/>
    </xf>
    <xf numFmtId="0" fontId="24" fillId="0" borderId="17" xfId="0" applyFont="1" applyBorder="1" applyAlignment="1" applyProtection="1">
      <alignment horizontal="center" vertical="center" wrapText="1"/>
    </xf>
    <xf numFmtId="0" fontId="24" fillId="0" borderId="81" xfId="0" applyFont="1" applyBorder="1" applyAlignment="1" applyProtection="1">
      <alignment horizontal="center" vertical="center" wrapText="1"/>
    </xf>
    <xf numFmtId="0" fontId="24" fillId="0" borderId="64" xfId="0" applyFont="1" applyBorder="1" applyAlignment="1" applyProtection="1">
      <alignment horizontal="center" vertical="center" wrapText="1"/>
    </xf>
    <xf numFmtId="0" fontId="24" fillId="0" borderId="65" xfId="0" applyFont="1" applyBorder="1" applyAlignment="1" applyProtection="1">
      <alignment horizontal="center" vertical="center" wrapText="1"/>
    </xf>
    <xf numFmtId="0" fontId="24" fillId="0" borderId="66" xfId="0" applyFont="1" applyBorder="1" applyAlignment="1" applyProtection="1">
      <alignment horizontal="center" vertical="center" wrapText="1"/>
    </xf>
    <xf numFmtId="0" fontId="24" fillId="0" borderId="0" xfId="0" applyFont="1" applyBorder="1" applyAlignment="1" applyProtection="1">
      <alignment horizontal="center" vertical="center" wrapText="1"/>
    </xf>
    <xf numFmtId="0" fontId="33" fillId="0" borderId="1" xfId="0" applyFont="1" applyBorder="1" applyAlignment="1" applyProtection="1">
      <alignment horizontal="center" vertical="center" wrapText="1"/>
    </xf>
    <xf numFmtId="0" fontId="33" fillId="0" borderId="20" xfId="0" applyFont="1" applyBorder="1" applyAlignment="1" applyProtection="1">
      <alignment horizontal="center" vertical="center" wrapText="1"/>
    </xf>
    <xf numFmtId="0" fontId="33" fillId="0" borderId="2" xfId="0" applyFont="1" applyBorder="1" applyAlignment="1" applyProtection="1">
      <alignment horizontal="center" vertical="center" wrapText="1"/>
    </xf>
    <xf numFmtId="0" fontId="33" fillId="0" borderId="3" xfId="0" applyFont="1" applyBorder="1" applyAlignment="1" applyProtection="1">
      <alignment horizontal="center" vertical="center" wrapText="1"/>
    </xf>
    <xf numFmtId="0" fontId="33" fillId="0" borderId="0" xfId="0" applyFont="1" applyBorder="1" applyAlignment="1" applyProtection="1">
      <alignment horizontal="center" vertical="center" wrapText="1"/>
    </xf>
    <xf numFmtId="0" fontId="33" fillId="0" borderId="4" xfId="0" applyFont="1" applyBorder="1" applyAlignment="1" applyProtection="1">
      <alignment horizontal="center" vertical="center" wrapText="1"/>
    </xf>
    <xf numFmtId="0" fontId="33" fillId="0" borderId="5" xfId="0" applyFont="1" applyBorder="1" applyAlignment="1" applyProtection="1">
      <alignment horizontal="center" vertical="center" wrapText="1"/>
    </xf>
    <xf numFmtId="0" fontId="33" fillId="0" borderId="19" xfId="0" applyFont="1" applyBorder="1" applyAlignment="1" applyProtection="1">
      <alignment horizontal="center" vertical="center" wrapText="1"/>
    </xf>
    <xf numFmtId="0" fontId="33" fillId="0" borderId="6" xfId="0" applyFont="1" applyBorder="1" applyAlignment="1" applyProtection="1">
      <alignment horizontal="center" vertical="center" wrapText="1"/>
    </xf>
    <xf numFmtId="0" fontId="29" fillId="5" borderId="8" xfId="0" applyFont="1" applyFill="1" applyBorder="1" applyAlignment="1" applyProtection="1">
      <alignment horizontal="center" vertical="center" wrapText="1"/>
    </xf>
    <xf numFmtId="0" fontId="29" fillId="5" borderId="10" xfId="0" applyFont="1" applyFill="1" applyBorder="1" applyAlignment="1" applyProtection="1">
      <alignment horizontal="center" vertical="center" wrapText="1"/>
    </xf>
    <xf numFmtId="0" fontId="29" fillId="5" borderId="9" xfId="0" applyFont="1" applyFill="1" applyBorder="1" applyAlignment="1" applyProtection="1">
      <alignment horizontal="center" vertical="center" wrapText="1"/>
    </xf>
    <xf numFmtId="0" fontId="24" fillId="0" borderId="8" xfId="0" applyFont="1" applyBorder="1" applyAlignment="1" applyProtection="1">
      <alignment horizontal="center"/>
    </xf>
    <xf numFmtId="0" fontId="24" fillId="0" borderId="10" xfId="0" applyFont="1" applyBorder="1" applyAlignment="1" applyProtection="1">
      <alignment horizontal="center"/>
    </xf>
    <xf numFmtId="0" fontId="24" fillId="0" borderId="9" xfId="0" applyFont="1" applyBorder="1" applyAlignment="1" applyProtection="1">
      <alignment horizontal="center"/>
    </xf>
    <xf numFmtId="0" fontId="24" fillId="5" borderId="8" xfId="0" applyFont="1" applyFill="1" applyBorder="1" applyAlignment="1" applyProtection="1">
      <alignment horizontal="center" vertical="center" wrapText="1"/>
      <protection locked="0"/>
    </xf>
    <xf numFmtId="0" fontId="24" fillId="5" borderId="10" xfId="0" applyFont="1" applyFill="1" applyBorder="1" applyAlignment="1" applyProtection="1">
      <alignment horizontal="center" vertical="center" wrapText="1"/>
      <protection locked="0"/>
    </xf>
    <xf numFmtId="0" fontId="24" fillId="5" borderId="9" xfId="0" applyFont="1" applyFill="1" applyBorder="1" applyAlignment="1" applyProtection="1">
      <alignment horizontal="center" vertical="center" wrapText="1"/>
      <protection locked="0"/>
    </xf>
    <xf numFmtId="0" fontId="32" fillId="5" borderId="8" xfId="0" applyFont="1" applyFill="1" applyBorder="1" applyAlignment="1" applyProtection="1">
      <alignment horizontal="center" vertical="center" wrapText="1"/>
      <protection locked="0"/>
    </xf>
    <xf numFmtId="0" fontId="32" fillId="5" borderId="10" xfId="0" applyFont="1" applyFill="1" applyBorder="1" applyAlignment="1" applyProtection="1">
      <alignment horizontal="center" vertical="center" wrapText="1"/>
      <protection locked="0"/>
    </xf>
    <xf numFmtId="0" fontId="32" fillId="5" borderId="9" xfId="0" applyFont="1" applyFill="1" applyBorder="1" applyAlignment="1" applyProtection="1">
      <alignment horizontal="center" vertical="center" wrapText="1"/>
      <protection locked="0"/>
    </xf>
    <xf numFmtId="0" fontId="32" fillId="5" borderId="5" xfId="0" applyFont="1" applyFill="1" applyBorder="1" applyAlignment="1" applyProtection="1">
      <alignment horizontal="center" vertical="center" wrapText="1"/>
      <protection locked="0"/>
    </xf>
    <xf numFmtId="0" fontId="32" fillId="5" borderId="19" xfId="0" applyFont="1" applyFill="1" applyBorder="1" applyAlignment="1" applyProtection="1">
      <alignment horizontal="center" vertical="center" wrapText="1"/>
      <protection locked="0"/>
    </xf>
    <xf numFmtId="0" fontId="32" fillId="5" borderId="6" xfId="0" applyFont="1" applyFill="1" applyBorder="1" applyAlignment="1" applyProtection="1">
      <alignment horizontal="center" vertical="center" wrapText="1"/>
      <protection locked="0"/>
    </xf>
    <xf numFmtId="0" fontId="29" fillId="0" borderId="5" xfId="0" applyFont="1" applyBorder="1" applyAlignment="1">
      <alignment horizontal="center" vertical="center"/>
    </xf>
    <xf numFmtId="0" fontId="29" fillId="0" borderId="19" xfId="0" applyFont="1" applyBorder="1" applyAlignment="1">
      <alignment horizontal="center" vertical="center"/>
    </xf>
    <xf numFmtId="0" fontId="27" fillId="10" borderId="8" xfId="0" applyFont="1" applyFill="1" applyBorder="1" applyAlignment="1">
      <alignment horizontal="center" vertical="center"/>
    </xf>
    <xf numFmtId="0" fontId="27" fillId="10" borderId="10" xfId="0" applyFont="1" applyFill="1" applyBorder="1" applyAlignment="1">
      <alignment horizontal="center" vertical="center"/>
    </xf>
    <xf numFmtId="0" fontId="27" fillId="10" borderId="9" xfId="0" applyFont="1" applyFill="1" applyBorder="1" applyAlignment="1">
      <alignment horizontal="center" vertical="center"/>
    </xf>
    <xf numFmtId="0" fontId="23" fillId="10" borderId="8" xfId="0" applyFont="1" applyFill="1" applyBorder="1" applyAlignment="1">
      <alignment horizontal="center" vertical="center"/>
    </xf>
    <xf numFmtId="0" fontId="23" fillId="10" borderId="10" xfId="0" applyFont="1" applyFill="1" applyBorder="1" applyAlignment="1">
      <alignment horizontal="center" vertical="center"/>
    </xf>
    <xf numFmtId="0" fontId="23" fillId="10" borderId="9" xfId="0" applyFont="1" applyFill="1" applyBorder="1" applyAlignment="1">
      <alignment horizontal="center" vertical="center"/>
    </xf>
    <xf numFmtId="0" fontId="23" fillId="12" borderId="68" xfId="0" applyFont="1" applyFill="1" applyBorder="1" applyAlignment="1">
      <alignment horizontal="center" wrapText="1"/>
    </xf>
    <xf numFmtId="0" fontId="23" fillId="12" borderId="70" xfId="0" applyFont="1" applyFill="1" applyBorder="1" applyAlignment="1">
      <alignment horizontal="center" wrapText="1"/>
    </xf>
    <xf numFmtId="0" fontId="27" fillId="10" borderId="20" xfId="0" applyFont="1" applyFill="1" applyBorder="1" applyAlignment="1">
      <alignment horizontal="center" vertical="center"/>
    </xf>
    <xf numFmtId="0" fontId="29" fillId="12" borderId="8" xfId="0" applyFont="1" applyFill="1" applyBorder="1" applyAlignment="1">
      <alignment horizontal="center" vertical="center"/>
    </xf>
    <xf numFmtId="0" fontId="29" fillId="12" borderId="62" xfId="0" applyFont="1" applyFill="1" applyBorder="1" applyAlignment="1">
      <alignment horizontal="center" vertical="center"/>
    </xf>
    <xf numFmtId="0" fontId="29" fillId="12" borderId="32" xfId="0" applyFont="1" applyFill="1" applyBorder="1" applyAlignment="1">
      <alignment horizontal="center" vertical="center" wrapText="1"/>
    </xf>
    <xf numFmtId="0" fontId="29" fillId="12" borderId="28" xfId="0" applyFont="1" applyFill="1" applyBorder="1" applyAlignment="1">
      <alignment horizontal="center" vertical="center" wrapText="1"/>
    </xf>
    <xf numFmtId="0" fontId="29" fillId="12" borderId="69" xfId="0" applyFont="1" applyFill="1" applyBorder="1" applyAlignment="1">
      <alignment horizontal="center" vertical="center" wrapText="1"/>
    </xf>
    <xf numFmtId="0" fontId="29" fillId="12" borderId="65" xfId="0" applyFont="1" applyFill="1" applyBorder="1" applyAlignment="1">
      <alignment horizontal="center" vertical="center" wrapText="1"/>
    </xf>
    <xf numFmtId="0" fontId="29" fillId="12" borderId="54" xfId="0" applyFont="1" applyFill="1" applyBorder="1" applyAlignment="1">
      <alignment horizontal="center" vertical="center"/>
    </xf>
    <xf numFmtId="0" fontId="29" fillId="12" borderId="55" xfId="0" applyFont="1" applyFill="1" applyBorder="1" applyAlignment="1">
      <alignment horizontal="center" vertical="center"/>
    </xf>
    <xf numFmtId="0" fontId="29" fillId="12" borderId="33" xfId="0" applyFont="1" applyFill="1" applyBorder="1" applyAlignment="1">
      <alignment horizontal="center" vertical="center"/>
    </xf>
    <xf numFmtId="0" fontId="29" fillId="12" borderId="32" xfId="0" applyFont="1" applyFill="1" applyBorder="1" applyAlignment="1">
      <alignment horizontal="center" vertical="center"/>
    </xf>
    <xf numFmtId="0" fontId="29" fillId="12" borderId="31" xfId="0" applyFont="1" applyFill="1" applyBorder="1" applyAlignment="1">
      <alignment horizontal="center" vertical="center"/>
    </xf>
    <xf numFmtId="0" fontId="29" fillId="12" borderId="8" xfId="0" applyFont="1" applyFill="1" applyBorder="1" applyAlignment="1">
      <alignment horizontal="center"/>
    </xf>
    <xf numFmtId="0" fontId="29" fillId="12" borderId="9" xfId="0" applyFont="1" applyFill="1" applyBorder="1" applyAlignment="1">
      <alignment horizontal="center"/>
    </xf>
    <xf numFmtId="0" fontId="26" fillId="0" borderId="21" xfId="0" applyFont="1" applyBorder="1" applyAlignment="1">
      <alignment horizontal="center" vertical="center"/>
    </xf>
    <xf numFmtId="0" fontId="26" fillId="0" borderId="23" xfId="0" applyFont="1" applyBorder="1" applyAlignment="1">
      <alignment horizontal="center" vertical="center"/>
    </xf>
    <xf numFmtId="0" fontId="26" fillId="0" borderId="22" xfId="0" applyFont="1" applyBorder="1" applyAlignment="1">
      <alignment horizontal="center" vertic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2" fillId="0" borderId="9" xfId="0" applyFont="1" applyBorder="1" applyAlignment="1">
      <alignment horizontal="center"/>
    </xf>
    <xf numFmtId="0" fontId="29" fillId="12" borderId="21" xfId="0" applyFont="1" applyFill="1" applyBorder="1" applyAlignment="1">
      <alignment horizontal="center" vertical="center"/>
    </xf>
    <xf numFmtId="0" fontId="29" fillId="12" borderId="22" xfId="0" applyFont="1" applyFill="1" applyBorder="1" applyAlignment="1">
      <alignment horizontal="center" vertical="center"/>
    </xf>
    <xf numFmtId="2" fontId="29" fillId="11" borderId="21" xfId="0" applyNumberFormat="1" applyFont="1" applyFill="1" applyBorder="1" applyAlignment="1">
      <alignment horizontal="center" vertical="center"/>
    </xf>
    <xf numFmtId="2" fontId="29" fillId="11" borderId="23" xfId="0" applyNumberFormat="1" applyFont="1" applyFill="1" applyBorder="1" applyAlignment="1">
      <alignment horizontal="center" vertical="center"/>
    </xf>
    <xf numFmtId="2" fontId="29" fillId="11" borderId="22" xfId="0" applyNumberFormat="1" applyFont="1" applyFill="1" applyBorder="1" applyAlignment="1">
      <alignment horizontal="center" vertical="center"/>
    </xf>
    <xf numFmtId="0" fontId="29" fillId="0" borderId="1" xfId="0" applyFont="1" applyBorder="1" applyAlignment="1">
      <alignment horizontal="center" vertical="center"/>
    </xf>
    <xf numFmtId="0" fontId="29" fillId="0" borderId="20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29" fillId="0" borderId="0" xfId="0" applyFont="1" applyBorder="1" applyAlignment="1">
      <alignment horizontal="center" vertical="center"/>
    </xf>
    <xf numFmtId="168" fontId="24" fillId="0" borderId="0" xfId="0" applyNumberFormat="1" applyFont="1" applyAlignment="1">
      <alignment horizontal="left"/>
    </xf>
    <xf numFmtId="2" fontId="24" fillId="0" borderId="67" xfId="0" applyNumberFormat="1" applyFont="1" applyBorder="1" applyAlignment="1">
      <alignment horizontal="center" vertical="center"/>
    </xf>
    <xf numFmtId="2" fontId="24" fillId="0" borderId="18" xfId="0" applyNumberFormat="1" applyFont="1" applyBorder="1" applyAlignment="1">
      <alignment horizontal="center" vertical="center"/>
    </xf>
    <xf numFmtId="2" fontId="24" fillId="0" borderId="76" xfId="0" applyNumberFormat="1" applyFont="1" applyBorder="1" applyAlignment="1">
      <alignment horizontal="center" vertical="center"/>
    </xf>
    <xf numFmtId="2" fontId="24" fillId="0" borderId="35" xfId="0" applyNumberFormat="1" applyFont="1" applyBorder="1" applyAlignment="1">
      <alignment horizontal="center" vertical="center"/>
    </xf>
    <xf numFmtId="2" fontId="24" fillId="0" borderId="15" xfId="0" applyNumberFormat="1" applyFont="1" applyBorder="1" applyAlignment="1">
      <alignment horizontal="center" vertical="center"/>
    </xf>
    <xf numFmtId="2" fontId="24" fillId="0" borderId="74" xfId="0" applyNumberFormat="1" applyFont="1" applyBorder="1" applyAlignment="1">
      <alignment horizontal="center" vertical="center"/>
    </xf>
    <xf numFmtId="0" fontId="29" fillId="12" borderId="8" xfId="0" applyFont="1" applyFill="1" applyBorder="1" applyAlignment="1">
      <alignment horizontal="center" vertical="center" wrapText="1"/>
    </xf>
    <xf numFmtId="0" fontId="29" fillId="12" borderId="10" xfId="0" applyFont="1" applyFill="1" applyBorder="1" applyAlignment="1">
      <alignment horizontal="center" vertical="center" wrapText="1"/>
    </xf>
    <xf numFmtId="0" fontId="29" fillId="12" borderId="9" xfId="0" applyFont="1" applyFill="1" applyBorder="1" applyAlignment="1">
      <alignment horizontal="center" vertical="center" wrapText="1"/>
    </xf>
    <xf numFmtId="0" fontId="29" fillId="12" borderId="9" xfId="0" applyFont="1" applyFill="1" applyBorder="1" applyAlignment="1">
      <alignment horizontal="center" vertical="center"/>
    </xf>
    <xf numFmtId="0" fontId="23" fillId="12" borderId="1" xfId="0" applyFont="1" applyFill="1" applyBorder="1" applyAlignment="1">
      <alignment horizontal="center" vertical="center"/>
    </xf>
    <xf numFmtId="0" fontId="23" fillId="12" borderId="2" xfId="0" applyFont="1" applyFill="1" applyBorder="1" applyAlignment="1">
      <alignment horizontal="center" vertical="center"/>
    </xf>
    <xf numFmtId="0" fontId="23" fillId="12" borderId="5" xfId="0" applyFont="1" applyFill="1" applyBorder="1" applyAlignment="1">
      <alignment horizontal="center" vertical="center"/>
    </xf>
    <xf numFmtId="0" fontId="23" fillId="12" borderId="6" xfId="0" applyFont="1" applyFill="1" applyBorder="1" applyAlignment="1">
      <alignment horizontal="center" vertical="center"/>
    </xf>
    <xf numFmtId="2" fontId="29" fillId="11" borderId="33" xfId="0" applyNumberFormat="1" applyFont="1" applyFill="1" applyBorder="1" applyAlignment="1">
      <alignment horizontal="center" vertical="center"/>
    </xf>
    <xf numFmtId="2" fontId="29" fillId="11" borderId="31" xfId="0" applyNumberFormat="1" applyFont="1" applyFill="1" applyBorder="1" applyAlignment="1">
      <alignment horizontal="center" vertical="center"/>
    </xf>
    <xf numFmtId="0" fontId="29" fillId="11" borderId="29" xfId="0" applyFont="1" applyFill="1" applyBorder="1" applyAlignment="1">
      <alignment horizontal="center" vertical="center"/>
    </xf>
    <xf numFmtId="0" fontId="29" fillId="11" borderId="27" xfId="0" applyFont="1" applyFill="1" applyBorder="1" applyAlignment="1">
      <alignment horizontal="center" vertical="center"/>
    </xf>
    <xf numFmtId="0" fontId="24" fillId="0" borderId="8" xfId="0" applyFont="1" applyBorder="1" applyAlignment="1">
      <alignment horizontal="center"/>
    </xf>
    <xf numFmtId="0" fontId="24" fillId="0" borderId="10" xfId="0" applyFont="1" applyBorder="1" applyAlignment="1">
      <alignment horizontal="center"/>
    </xf>
    <xf numFmtId="0" fontId="24" fillId="0" borderId="9" xfId="0" applyFont="1" applyBorder="1" applyAlignment="1">
      <alignment horizontal="center"/>
    </xf>
    <xf numFmtId="2" fontId="24" fillId="0" borderId="72" xfId="0" applyNumberFormat="1" applyFont="1" applyBorder="1" applyAlignment="1">
      <alignment horizontal="center" vertical="center"/>
    </xf>
    <xf numFmtId="2" fontId="24" fillId="0" borderId="73" xfId="0" applyNumberFormat="1" applyFont="1" applyBorder="1" applyAlignment="1">
      <alignment horizontal="center" vertical="center"/>
    </xf>
    <xf numFmtId="2" fontId="24" fillId="0" borderId="75" xfId="0" applyNumberFormat="1" applyFont="1" applyBorder="1" applyAlignment="1">
      <alignment horizontal="center" vertical="center"/>
    </xf>
    <xf numFmtId="0" fontId="29" fillId="12" borderId="33" xfId="0" applyFont="1" applyFill="1" applyBorder="1" applyAlignment="1">
      <alignment horizontal="center" vertical="center" wrapText="1"/>
    </xf>
    <xf numFmtId="2" fontId="29" fillId="12" borderId="32" xfId="0" applyNumberFormat="1" applyFont="1" applyFill="1" applyBorder="1" applyAlignment="1">
      <alignment horizontal="center" vertical="center"/>
    </xf>
    <xf numFmtId="2" fontId="29" fillId="12" borderId="31" xfId="0" applyNumberFormat="1" applyFont="1" applyFill="1" applyBorder="1" applyAlignment="1">
      <alignment horizontal="center" vertical="center"/>
    </xf>
    <xf numFmtId="0" fontId="29" fillId="12" borderId="29" xfId="0" applyFont="1" applyFill="1" applyBorder="1" applyAlignment="1">
      <alignment horizontal="center" vertical="center" wrapText="1"/>
    </xf>
    <xf numFmtId="2" fontId="29" fillId="12" borderId="28" xfId="0" applyNumberFormat="1" applyFont="1" applyFill="1" applyBorder="1" applyAlignment="1">
      <alignment horizontal="center" vertical="center"/>
    </xf>
    <xf numFmtId="2" fontId="29" fillId="12" borderId="27" xfId="0" applyNumberFormat="1" applyFont="1" applyFill="1" applyBorder="1" applyAlignment="1">
      <alignment horizontal="center" vertical="center"/>
    </xf>
    <xf numFmtId="0" fontId="32" fillId="5" borderId="1" xfId="0" applyFont="1" applyFill="1" applyBorder="1" applyAlignment="1">
      <alignment horizontal="center" vertical="center" wrapText="1"/>
    </xf>
    <xf numFmtId="0" fontId="32" fillId="5" borderId="20" xfId="0" applyFont="1" applyFill="1" applyBorder="1" applyAlignment="1">
      <alignment horizontal="center" vertical="center" wrapText="1"/>
    </xf>
    <xf numFmtId="0" fontId="32" fillId="5" borderId="2" xfId="0" applyFont="1" applyFill="1" applyBorder="1" applyAlignment="1">
      <alignment horizontal="center" vertical="center" wrapText="1"/>
    </xf>
    <xf numFmtId="0" fontId="32" fillId="5" borderId="5" xfId="0" applyFont="1" applyFill="1" applyBorder="1" applyAlignment="1">
      <alignment horizontal="center" vertical="center" wrapText="1"/>
    </xf>
    <xf numFmtId="0" fontId="32" fillId="5" borderId="19" xfId="0" applyFont="1" applyFill="1" applyBorder="1" applyAlignment="1">
      <alignment horizontal="center" vertical="center" wrapText="1"/>
    </xf>
    <xf numFmtId="0" fontId="32" fillId="5" borderId="6" xfId="0" applyFont="1" applyFill="1" applyBorder="1" applyAlignment="1">
      <alignment horizontal="center" vertical="center" wrapText="1"/>
    </xf>
    <xf numFmtId="0" fontId="34" fillId="0" borderId="1" xfId="0" applyFont="1" applyFill="1" applyBorder="1" applyAlignment="1">
      <alignment horizontal="center" vertical="center"/>
    </xf>
    <xf numFmtId="0" fontId="34" fillId="0" borderId="20" xfId="0" applyFont="1" applyFill="1" applyBorder="1" applyAlignment="1">
      <alignment horizontal="center" vertical="center"/>
    </xf>
    <xf numFmtId="0" fontId="34" fillId="0" borderId="2" xfId="0" applyFont="1" applyFill="1" applyBorder="1" applyAlignment="1">
      <alignment horizontal="center" vertical="center"/>
    </xf>
    <xf numFmtId="0" fontId="29" fillId="10" borderId="1" xfId="0" applyFont="1" applyFill="1" applyBorder="1" applyAlignment="1">
      <alignment horizontal="center" vertical="center"/>
    </xf>
    <xf numFmtId="0" fontId="29" fillId="10" borderId="2" xfId="0" applyFont="1" applyFill="1" applyBorder="1" applyAlignment="1">
      <alignment horizontal="center" vertical="center"/>
    </xf>
    <xf numFmtId="0" fontId="34" fillId="0" borderId="8" xfId="0" applyFont="1" applyFill="1" applyBorder="1" applyAlignment="1">
      <alignment horizontal="center" vertical="center"/>
    </xf>
    <xf numFmtId="0" fontId="34" fillId="0" borderId="10" xfId="0" applyFont="1" applyFill="1" applyBorder="1" applyAlignment="1">
      <alignment horizontal="center" vertical="center"/>
    </xf>
    <xf numFmtId="0" fontId="34" fillId="0" borderId="9" xfId="0" applyFont="1" applyFill="1" applyBorder="1" applyAlignment="1">
      <alignment horizontal="center" vertical="center"/>
    </xf>
    <xf numFmtId="0" fontId="29" fillId="12" borderId="3" xfId="0" applyFont="1" applyFill="1" applyBorder="1" applyAlignment="1">
      <alignment horizontal="center" vertical="center"/>
    </xf>
    <xf numFmtId="0" fontId="29" fillId="12" borderId="0" xfId="0" applyFont="1" applyFill="1" applyBorder="1" applyAlignment="1">
      <alignment horizontal="center" vertical="center"/>
    </xf>
    <xf numFmtId="0" fontId="36" fillId="10" borderId="8" xfId="0" applyFont="1" applyFill="1" applyBorder="1" applyAlignment="1">
      <alignment horizontal="center" vertical="center"/>
    </xf>
    <xf numFmtId="0" fontId="36" fillId="10" borderId="10" xfId="0" applyFont="1" applyFill="1" applyBorder="1" applyAlignment="1">
      <alignment horizontal="center" vertical="center"/>
    </xf>
    <xf numFmtId="0" fontId="36" fillId="10" borderId="9" xfId="0" applyFont="1" applyFill="1" applyBorder="1" applyAlignment="1">
      <alignment horizontal="center" vertical="center"/>
    </xf>
    <xf numFmtId="0" fontId="29" fillId="12" borderId="10" xfId="0" applyFont="1" applyFill="1" applyBorder="1" applyAlignment="1">
      <alignment horizontal="center" vertical="center"/>
    </xf>
    <xf numFmtId="0" fontId="37" fillId="0" borderId="8" xfId="0" applyFont="1" applyBorder="1" applyAlignment="1">
      <alignment horizontal="center" vertical="center"/>
    </xf>
    <xf numFmtId="0" fontId="37" fillId="0" borderId="10" xfId="0" applyFont="1" applyBorder="1" applyAlignment="1">
      <alignment horizontal="center" vertical="center"/>
    </xf>
    <xf numFmtId="0" fontId="37" fillId="0" borderId="9" xfId="0" applyFont="1" applyBorder="1" applyAlignment="1">
      <alignment horizontal="center" vertical="center"/>
    </xf>
    <xf numFmtId="0" fontId="23" fillId="5" borderId="1" xfId="0" applyFont="1" applyFill="1" applyBorder="1" applyAlignment="1">
      <alignment horizontal="justify" vertical="center" wrapText="1"/>
    </xf>
    <xf numFmtId="0" fontId="23" fillId="5" borderId="20" xfId="0" applyFont="1" applyFill="1" applyBorder="1" applyAlignment="1">
      <alignment horizontal="justify" vertical="center" wrapText="1"/>
    </xf>
    <xf numFmtId="0" fontId="23" fillId="5" borderId="2" xfId="0" applyFont="1" applyFill="1" applyBorder="1" applyAlignment="1">
      <alignment horizontal="justify" vertical="center" wrapText="1"/>
    </xf>
    <xf numFmtId="0" fontId="23" fillId="5" borderId="3" xfId="0" applyFont="1" applyFill="1" applyBorder="1" applyAlignment="1">
      <alignment horizontal="justify" vertical="center" wrapText="1"/>
    </xf>
    <xf numFmtId="0" fontId="23" fillId="5" borderId="0" xfId="0" applyFont="1" applyFill="1" applyBorder="1" applyAlignment="1">
      <alignment horizontal="justify" vertical="center" wrapText="1"/>
    </xf>
    <xf numFmtId="0" fontId="23" fillId="5" borderId="4" xfId="0" applyFont="1" applyFill="1" applyBorder="1" applyAlignment="1">
      <alignment horizontal="justify" vertical="center" wrapText="1"/>
    </xf>
    <xf numFmtId="0" fontId="23" fillId="5" borderId="5" xfId="0" applyFont="1" applyFill="1" applyBorder="1" applyAlignment="1">
      <alignment horizontal="justify" vertical="center" wrapText="1"/>
    </xf>
    <xf numFmtId="0" fontId="23" fillId="5" borderId="19" xfId="0" applyFont="1" applyFill="1" applyBorder="1" applyAlignment="1">
      <alignment horizontal="justify" vertical="center" wrapText="1"/>
    </xf>
    <xf numFmtId="0" fontId="23" fillId="5" borderId="6" xfId="0" applyFont="1" applyFill="1" applyBorder="1" applyAlignment="1">
      <alignment horizontal="justify" vertical="center" wrapText="1"/>
    </xf>
    <xf numFmtId="0" fontId="24" fillId="0" borderId="10" xfId="0" applyFont="1" applyBorder="1" applyAlignment="1">
      <alignment horizontal="center" vertical="center"/>
    </xf>
    <xf numFmtId="0" fontId="24" fillId="0" borderId="9" xfId="0" applyFont="1" applyBorder="1" applyAlignment="1">
      <alignment horizontal="center" vertical="center"/>
    </xf>
    <xf numFmtId="0" fontId="29" fillId="12" borderId="1" xfId="0" applyFont="1" applyFill="1" applyBorder="1" applyAlignment="1">
      <alignment horizontal="center" vertical="center"/>
    </xf>
    <xf numFmtId="0" fontId="29" fillId="12" borderId="20" xfId="0" applyFont="1" applyFill="1" applyBorder="1" applyAlignment="1">
      <alignment horizontal="center" vertical="center"/>
    </xf>
    <xf numFmtId="0" fontId="29" fillId="12" borderId="2" xfId="0" applyFont="1" applyFill="1" applyBorder="1" applyAlignment="1">
      <alignment horizontal="center" vertical="center"/>
    </xf>
    <xf numFmtId="164" fontId="29" fillId="10" borderId="8" xfId="0" applyNumberFormat="1" applyFont="1" applyFill="1" applyBorder="1" applyAlignment="1">
      <alignment horizontal="center" vertical="center"/>
    </xf>
    <xf numFmtId="164" fontId="29" fillId="10" borderId="10" xfId="0" applyNumberFormat="1" applyFont="1" applyFill="1" applyBorder="1" applyAlignment="1">
      <alignment horizontal="center" vertical="center"/>
    </xf>
    <xf numFmtId="164" fontId="29" fillId="10" borderId="9" xfId="0" applyNumberFormat="1" applyFont="1" applyFill="1" applyBorder="1" applyAlignment="1">
      <alignment horizontal="center" vertical="center"/>
    </xf>
    <xf numFmtId="164" fontId="29" fillId="12" borderId="8" xfId="0" applyNumberFormat="1" applyFont="1" applyFill="1" applyBorder="1" applyAlignment="1">
      <alignment horizontal="center"/>
    </xf>
    <xf numFmtId="164" fontId="29" fillId="12" borderId="10" xfId="0" applyNumberFormat="1" applyFont="1" applyFill="1" applyBorder="1" applyAlignment="1">
      <alignment horizontal="center"/>
    </xf>
    <xf numFmtId="164" fontId="29" fillId="12" borderId="9" xfId="0" applyNumberFormat="1" applyFont="1" applyFill="1" applyBorder="1" applyAlignment="1">
      <alignment horizontal="center"/>
    </xf>
    <xf numFmtId="0" fontId="29" fillId="12" borderId="5" xfId="0" applyFont="1" applyFill="1" applyBorder="1" applyAlignment="1">
      <alignment horizontal="center" vertical="center"/>
    </xf>
    <xf numFmtId="0" fontId="29" fillId="12" borderId="19" xfId="0" applyFont="1" applyFill="1" applyBorder="1" applyAlignment="1">
      <alignment horizontal="center" vertical="center"/>
    </xf>
    <xf numFmtId="0" fontId="29" fillId="12" borderId="6" xfId="0" applyFont="1" applyFill="1" applyBorder="1" applyAlignment="1">
      <alignment horizontal="center" vertical="center"/>
    </xf>
    <xf numFmtId="0" fontId="29" fillId="10" borderId="8" xfId="0" applyFont="1" applyFill="1" applyBorder="1" applyAlignment="1">
      <alignment horizontal="center" vertical="center"/>
    </xf>
    <xf numFmtId="0" fontId="29" fillId="10" borderId="10" xfId="0" applyFont="1" applyFill="1" applyBorder="1" applyAlignment="1">
      <alignment horizontal="center" vertical="center"/>
    </xf>
    <xf numFmtId="0" fontId="29" fillId="10" borderId="9" xfId="0" applyFont="1" applyFill="1" applyBorder="1" applyAlignment="1">
      <alignment horizontal="center" vertical="center"/>
    </xf>
    <xf numFmtId="164" fontId="23" fillId="10" borderId="8" xfId="0" applyNumberFormat="1" applyFont="1" applyFill="1" applyBorder="1" applyAlignment="1">
      <alignment horizontal="center" vertical="center"/>
    </xf>
    <xf numFmtId="164" fontId="23" fillId="10" borderId="10" xfId="0" applyNumberFormat="1" applyFont="1" applyFill="1" applyBorder="1" applyAlignment="1">
      <alignment horizontal="center" vertical="center"/>
    </xf>
    <xf numFmtId="164" fontId="23" fillId="10" borderId="9" xfId="0" applyNumberFormat="1" applyFont="1" applyFill="1" applyBorder="1" applyAlignment="1">
      <alignment horizontal="center" vertical="center"/>
    </xf>
    <xf numFmtId="0" fontId="24" fillId="0" borderId="34" xfId="0" applyFont="1" applyBorder="1" applyAlignment="1">
      <alignment horizontal="center" vertical="center"/>
    </xf>
    <xf numFmtId="0" fontId="24" fillId="0" borderId="32" xfId="0" applyFont="1" applyBorder="1" applyAlignment="1">
      <alignment horizontal="center" vertical="center"/>
    </xf>
    <xf numFmtId="0" fontId="24" fillId="0" borderId="31" xfId="0" applyFont="1" applyBorder="1" applyAlignment="1">
      <alignment horizontal="center" vertical="center"/>
    </xf>
    <xf numFmtId="0" fontId="24" fillId="0" borderId="16" xfId="0" applyFont="1" applyBorder="1" applyAlignment="1">
      <alignment horizontal="center" vertical="center"/>
    </xf>
    <xf numFmtId="0" fontId="24" fillId="0" borderId="11" xfId="0" applyFont="1" applyBorder="1" applyAlignment="1">
      <alignment horizontal="center" vertical="center"/>
    </xf>
    <xf numFmtId="0" fontId="24" fillId="0" borderId="30" xfId="0" applyFont="1" applyBorder="1" applyAlignment="1">
      <alignment horizontal="center" vertical="center"/>
    </xf>
    <xf numFmtId="0" fontId="30" fillId="10" borderId="20" xfId="0" applyFont="1" applyFill="1" applyBorder="1" applyAlignment="1">
      <alignment horizontal="center"/>
    </xf>
    <xf numFmtId="0" fontId="30" fillId="10" borderId="2" xfId="0" applyFont="1" applyFill="1" applyBorder="1" applyAlignment="1">
      <alignment horizontal="center"/>
    </xf>
    <xf numFmtId="0" fontId="32" fillId="5" borderId="1" xfId="0" applyFont="1" applyFill="1" applyBorder="1" applyAlignment="1">
      <alignment horizontal="justify" vertical="center" wrapText="1"/>
    </xf>
    <xf numFmtId="0" fontId="32" fillId="5" borderId="20" xfId="0" applyFont="1" applyFill="1" applyBorder="1" applyAlignment="1">
      <alignment horizontal="justify" vertical="center" wrapText="1"/>
    </xf>
    <xf numFmtId="0" fontId="32" fillId="5" borderId="2" xfId="0" applyFont="1" applyFill="1" applyBorder="1" applyAlignment="1">
      <alignment horizontal="justify" vertical="center" wrapText="1"/>
    </xf>
    <xf numFmtId="0" fontId="32" fillId="5" borderId="3" xfId="0" applyFont="1" applyFill="1" applyBorder="1" applyAlignment="1">
      <alignment horizontal="justify" vertical="center" wrapText="1"/>
    </xf>
    <xf numFmtId="0" fontId="32" fillId="5" borderId="0" xfId="0" applyFont="1" applyFill="1" applyBorder="1" applyAlignment="1">
      <alignment horizontal="justify" vertical="center" wrapText="1"/>
    </xf>
    <xf numFmtId="0" fontId="32" fillId="5" borderId="4" xfId="0" applyFont="1" applyFill="1" applyBorder="1" applyAlignment="1">
      <alignment horizontal="justify" vertical="center" wrapText="1"/>
    </xf>
    <xf numFmtId="0" fontId="32" fillId="5" borderId="5" xfId="0" applyFont="1" applyFill="1" applyBorder="1" applyAlignment="1">
      <alignment horizontal="justify" vertical="center" wrapText="1"/>
    </xf>
    <xf numFmtId="0" fontId="32" fillId="5" borderId="19" xfId="0" applyFont="1" applyFill="1" applyBorder="1" applyAlignment="1">
      <alignment horizontal="justify" vertical="center" wrapText="1"/>
    </xf>
    <xf numFmtId="0" fontId="32" fillId="5" borderId="6" xfId="0" applyFont="1" applyFill="1" applyBorder="1" applyAlignment="1">
      <alignment horizontal="justify" vertical="center" wrapText="1"/>
    </xf>
    <xf numFmtId="0" fontId="30" fillId="10" borderId="19" xfId="0" applyFont="1" applyFill="1" applyBorder="1" applyAlignment="1">
      <alignment horizontal="center"/>
    </xf>
    <xf numFmtId="0" fontId="30" fillId="10" borderId="6" xfId="0" applyFont="1" applyFill="1" applyBorder="1" applyAlignment="1">
      <alignment horizontal="center"/>
    </xf>
    <xf numFmtId="0" fontId="24" fillId="11" borderId="16" xfId="0" applyFont="1" applyFill="1" applyBorder="1" applyAlignment="1">
      <alignment horizontal="center" vertical="center"/>
    </xf>
    <xf numFmtId="0" fontId="24" fillId="11" borderId="11" xfId="0" applyFont="1" applyFill="1" applyBorder="1" applyAlignment="1">
      <alignment horizontal="center" vertical="center"/>
    </xf>
    <xf numFmtId="0" fontId="24" fillId="11" borderId="30" xfId="0" applyFont="1" applyFill="1" applyBorder="1" applyAlignment="1">
      <alignment horizontal="center" vertical="center"/>
    </xf>
    <xf numFmtId="0" fontId="24" fillId="0" borderId="63" xfId="0" applyFont="1" applyBorder="1" applyAlignment="1">
      <alignment horizontal="center" vertical="center"/>
    </xf>
    <xf numFmtId="0" fontId="24" fillId="0" borderId="28" xfId="0" applyFont="1" applyBorder="1" applyAlignment="1">
      <alignment horizontal="center" vertical="center"/>
    </xf>
    <xf numFmtId="0" fontId="24" fillId="0" borderId="27" xfId="0" applyFont="1" applyBorder="1" applyAlignment="1">
      <alignment horizontal="center" vertical="center"/>
    </xf>
    <xf numFmtId="2" fontId="23" fillId="12" borderId="8" xfId="0" applyNumberFormat="1" applyFont="1" applyFill="1" applyBorder="1" applyAlignment="1">
      <alignment horizontal="center" vertical="center"/>
    </xf>
    <xf numFmtId="2" fontId="23" fillId="12" borderId="10" xfId="0" applyNumberFormat="1" applyFont="1" applyFill="1" applyBorder="1" applyAlignment="1">
      <alignment horizontal="center" vertical="center"/>
    </xf>
    <xf numFmtId="2" fontId="23" fillId="12" borderId="9" xfId="0" applyNumberFormat="1" applyFont="1" applyFill="1" applyBorder="1" applyAlignment="1">
      <alignment horizontal="center" vertical="center"/>
    </xf>
    <xf numFmtId="166" fontId="29" fillId="11" borderId="23" xfId="0" applyNumberFormat="1" applyFont="1" applyFill="1" applyBorder="1" applyAlignment="1">
      <alignment horizontal="center" vertical="center"/>
    </xf>
    <xf numFmtId="166" fontId="29" fillId="11" borderId="22" xfId="0" applyNumberFormat="1" applyFont="1" applyFill="1" applyBorder="1" applyAlignment="1">
      <alignment horizontal="center" vertical="center"/>
    </xf>
    <xf numFmtId="165" fontId="29" fillId="11" borderId="0" xfId="0" applyNumberFormat="1" applyFont="1" applyFill="1" applyBorder="1" applyAlignment="1">
      <alignment horizontal="center" vertical="center"/>
    </xf>
    <xf numFmtId="165" fontId="29" fillId="11" borderId="19" xfId="0" applyNumberFormat="1" applyFont="1" applyFill="1" applyBorder="1" applyAlignment="1">
      <alignment horizontal="center" vertical="center"/>
    </xf>
    <xf numFmtId="165" fontId="29" fillId="11" borderId="23" xfId="0" applyNumberFormat="1" applyFont="1" applyFill="1" applyBorder="1" applyAlignment="1">
      <alignment horizontal="center" vertical="center"/>
    </xf>
    <xf numFmtId="165" fontId="29" fillId="11" borderId="22" xfId="0" applyNumberFormat="1" applyFont="1" applyFill="1" applyBorder="1" applyAlignment="1">
      <alignment horizontal="center" vertical="center"/>
    </xf>
    <xf numFmtId="0" fontId="29" fillId="12" borderId="78" xfId="0" applyFont="1" applyFill="1" applyBorder="1" applyAlignment="1">
      <alignment horizontal="center"/>
    </xf>
    <xf numFmtId="0" fontId="29" fillId="12" borderId="36" xfId="0" applyFont="1" applyFill="1" applyBorder="1" applyAlignment="1">
      <alignment horizontal="center"/>
    </xf>
    <xf numFmtId="0" fontId="29" fillId="12" borderId="79" xfId="0" applyFont="1" applyFill="1" applyBorder="1" applyAlignment="1">
      <alignment horizontal="center"/>
    </xf>
    <xf numFmtId="171" fontId="24" fillId="11" borderId="57" xfId="0" applyNumberFormat="1" applyFont="1" applyFill="1" applyBorder="1" applyAlignment="1">
      <alignment horizontal="center" vertical="center"/>
    </xf>
    <xf numFmtId="171" fontId="24" fillId="11" borderId="13" xfId="0" applyNumberFormat="1" applyFont="1" applyFill="1" applyBorder="1" applyAlignment="1">
      <alignment horizontal="center" vertical="center"/>
    </xf>
    <xf numFmtId="0" fontId="24" fillId="3" borderId="37" xfId="0" applyFont="1" applyFill="1" applyBorder="1" applyAlignment="1">
      <alignment horizontal="center" vertical="center"/>
    </xf>
    <xf numFmtId="0" fontId="24" fillId="3" borderId="42" xfId="0" applyFont="1" applyFill="1" applyBorder="1" applyAlignment="1">
      <alignment horizontal="center" vertical="center"/>
    </xf>
    <xf numFmtId="0" fontId="29" fillId="12" borderId="70" xfId="0" applyFont="1" applyFill="1" applyBorder="1" applyAlignment="1">
      <alignment horizontal="center" vertical="center" wrapText="1"/>
    </xf>
    <xf numFmtId="0" fontId="29" fillId="12" borderId="66" xfId="0" applyFont="1" applyFill="1" applyBorder="1" applyAlignment="1">
      <alignment horizontal="center" vertical="center" wrapText="1"/>
    </xf>
    <xf numFmtId="0" fontId="29" fillId="12" borderId="29" xfId="0" applyFont="1" applyFill="1" applyBorder="1" applyAlignment="1">
      <alignment horizontal="center" vertical="center"/>
    </xf>
    <xf numFmtId="0" fontId="29" fillId="12" borderId="28" xfId="0" applyFont="1" applyFill="1" applyBorder="1" applyAlignment="1">
      <alignment horizontal="center" vertical="center"/>
    </xf>
    <xf numFmtId="0" fontId="29" fillId="12" borderId="27" xfId="0" applyFont="1" applyFill="1" applyBorder="1" applyAlignment="1">
      <alignment horizontal="center" vertical="center"/>
    </xf>
    <xf numFmtId="0" fontId="32" fillId="18" borderId="11" xfId="0" applyFont="1" applyFill="1" applyBorder="1" applyAlignment="1">
      <alignment horizontal="center" vertical="center"/>
    </xf>
    <xf numFmtId="0" fontId="32" fillId="18" borderId="30" xfId="0" applyFont="1" applyFill="1" applyBorder="1" applyAlignment="1">
      <alignment horizontal="center" vertical="center"/>
    </xf>
    <xf numFmtId="0" fontId="32" fillId="8" borderId="11" xfId="0" applyFont="1" applyFill="1" applyBorder="1" applyAlignment="1">
      <alignment horizontal="center" vertical="center"/>
    </xf>
    <xf numFmtId="0" fontId="32" fillId="8" borderId="30" xfId="0" applyFont="1" applyFill="1" applyBorder="1" applyAlignment="1">
      <alignment horizontal="center" vertical="center"/>
    </xf>
    <xf numFmtId="166" fontId="24" fillId="0" borderId="28" xfId="0" applyNumberFormat="1" applyFont="1" applyFill="1" applyBorder="1" applyAlignment="1">
      <alignment horizontal="center" vertical="center"/>
    </xf>
    <xf numFmtId="166" fontId="24" fillId="0" borderId="27" xfId="0" applyNumberFormat="1" applyFont="1" applyFill="1" applyBorder="1" applyAlignment="1">
      <alignment horizontal="center" vertical="center"/>
    </xf>
    <xf numFmtId="0" fontId="29" fillId="12" borderId="35" xfId="0" applyFont="1" applyFill="1" applyBorder="1" applyAlignment="1">
      <alignment horizontal="center"/>
    </xf>
    <xf numFmtId="0" fontId="29" fillId="12" borderId="15" xfId="0" applyFont="1" applyFill="1" applyBorder="1" applyAlignment="1">
      <alignment horizontal="center"/>
    </xf>
    <xf numFmtId="0" fontId="29" fillId="12" borderId="74" xfId="0" applyFont="1" applyFill="1" applyBorder="1" applyAlignment="1">
      <alignment horizontal="center"/>
    </xf>
    <xf numFmtId="165" fontId="24" fillId="17" borderId="59" xfId="0" applyNumberFormat="1" applyFont="1" applyFill="1" applyBorder="1" applyAlignment="1">
      <alignment horizontal="center" vertical="center"/>
    </xf>
    <xf numFmtId="165" fontId="24" fillId="17" borderId="11" xfId="0" applyNumberFormat="1" applyFont="1" applyFill="1" applyBorder="1" applyAlignment="1">
      <alignment horizontal="center" vertical="center"/>
    </xf>
    <xf numFmtId="0" fontId="24" fillId="3" borderId="14" xfId="0" applyFont="1" applyFill="1" applyBorder="1" applyAlignment="1">
      <alignment horizontal="center" vertical="center"/>
    </xf>
    <xf numFmtId="0" fontId="24" fillId="3" borderId="16" xfId="0" applyFont="1" applyFill="1" applyBorder="1" applyAlignment="1">
      <alignment horizontal="center" vertical="center"/>
    </xf>
    <xf numFmtId="0" fontId="29" fillId="12" borderId="72" xfId="0" applyFont="1" applyFill="1" applyBorder="1" applyAlignment="1">
      <alignment horizontal="center"/>
    </xf>
    <xf numFmtId="0" fontId="29" fillId="12" borderId="73" xfId="0" applyFont="1" applyFill="1" applyBorder="1" applyAlignment="1">
      <alignment horizontal="center"/>
    </xf>
    <xf numFmtId="0" fontId="29" fillId="12" borderId="75" xfId="0" applyFont="1" applyFill="1" applyBorder="1" applyAlignment="1">
      <alignment horizontal="center"/>
    </xf>
    <xf numFmtId="165" fontId="24" fillId="2" borderId="29" xfId="0" applyNumberFormat="1" applyFont="1" applyFill="1" applyBorder="1" applyAlignment="1">
      <alignment horizontal="center" vertical="center"/>
    </xf>
    <xf numFmtId="165" fontId="24" fillId="2" borderId="28" xfId="0" applyNumberFormat="1" applyFont="1" applyFill="1" applyBorder="1" applyAlignment="1">
      <alignment horizontal="center" vertical="center"/>
    </xf>
    <xf numFmtId="0" fontId="24" fillId="3" borderId="77" xfId="0" applyFont="1" applyFill="1" applyBorder="1" applyAlignment="1">
      <alignment horizontal="center" vertical="center"/>
    </xf>
    <xf numFmtId="0" fontId="24" fillId="3" borderId="63" xfId="0" applyFont="1" applyFill="1" applyBorder="1" applyAlignment="1">
      <alignment horizontal="center" vertical="center"/>
    </xf>
    <xf numFmtId="2" fontId="24" fillId="17" borderId="11" xfId="0" applyNumberFormat="1" applyFont="1" applyFill="1" applyBorder="1" applyAlignment="1">
      <alignment horizontal="center" vertical="center"/>
    </xf>
    <xf numFmtId="2" fontId="24" fillId="17" borderId="30" xfId="0" applyNumberFormat="1" applyFont="1" applyFill="1" applyBorder="1" applyAlignment="1">
      <alignment horizontal="center" vertical="center"/>
    </xf>
    <xf numFmtId="0" fontId="16" fillId="19" borderId="11" xfId="0" applyFont="1" applyFill="1" applyBorder="1" applyAlignment="1">
      <alignment horizontal="center" vertical="center"/>
    </xf>
    <xf numFmtId="0" fontId="16" fillId="19" borderId="30" xfId="0" applyFont="1" applyFill="1" applyBorder="1" applyAlignment="1">
      <alignment horizontal="center" vertical="center"/>
    </xf>
    <xf numFmtId="169" fontId="24" fillId="11" borderId="11" xfId="0" applyNumberFormat="1" applyFont="1" applyFill="1" applyBorder="1" applyAlignment="1">
      <alignment horizontal="center" vertical="center"/>
    </xf>
    <xf numFmtId="169" fontId="24" fillId="11" borderId="30" xfId="0" applyNumberFormat="1" applyFont="1" applyFill="1" applyBorder="1" applyAlignment="1">
      <alignment horizontal="center" vertical="center"/>
    </xf>
    <xf numFmtId="2" fontId="24" fillId="2" borderId="13" xfId="0" applyNumberFormat="1" applyFont="1" applyFill="1" applyBorder="1" applyAlignment="1">
      <alignment horizontal="center" vertical="center"/>
    </xf>
    <xf numFmtId="2" fontId="24" fillId="2" borderId="58" xfId="0" applyNumberFormat="1" applyFont="1" applyFill="1" applyBorder="1" applyAlignment="1">
      <alignment horizontal="center" vertical="center"/>
    </xf>
    <xf numFmtId="0" fontId="31" fillId="14" borderId="1" xfId="3" applyFont="1" applyBorder="1" applyAlignment="1">
      <alignment horizontal="center" vertical="center" wrapText="1"/>
    </xf>
    <xf numFmtId="0" fontId="31" fillId="14" borderId="20" xfId="3" applyFont="1" applyBorder="1" applyAlignment="1">
      <alignment horizontal="center" vertical="center" wrapText="1"/>
    </xf>
    <xf numFmtId="0" fontId="31" fillId="14" borderId="2" xfId="3" applyFont="1" applyBorder="1" applyAlignment="1">
      <alignment horizontal="center" vertical="center" wrapText="1"/>
    </xf>
    <xf numFmtId="0" fontId="31" fillId="14" borderId="5" xfId="3" applyFont="1" applyBorder="1" applyAlignment="1">
      <alignment horizontal="center" vertical="center" wrapText="1"/>
    </xf>
    <xf numFmtId="0" fontId="31" fillId="14" borderId="19" xfId="3" applyFont="1" applyBorder="1" applyAlignment="1">
      <alignment horizontal="center" vertical="center" wrapText="1"/>
    </xf>
    <xf numFmtId="0" fontId="31" fillId="14" borderId="6" xfId="3" applyFont="1" applyBorder="1" applyAlignment="1">
      <alignment horizontal="center" vertical="center" wrapText="1"/>
    </xf>
    <xf numFmtId="0" fontId="29" fillId="15" borderId="8" xfId="0" applyFont="1" applyFill="1" applyBorder="1" applyAlignment="1" applyProtection="1">
      <alignment horizontal="center" vertical="center" wrapText="1"/>
      <protection locked="0"/>
    </xf>
    <xf numFmtId="0" fontId="29" fillId="15" borderId="10" xfId="0" applyFont="1" applyFill="1" applyBorder="1" applyAlignment="1" applyProtection="1">
      <alignment horizontal="center" vertical="center" wrapText="1"/>
      <protection locked="0"/>
    </xf>
    <xf numFmtId="0" fontId="29" fillId="15" borderId="9" xfId="0" applyFont="1" applyFill="1" applyBorder="1" applyAlignment="1" applyProtection="1">
      <alignment horizontal="center" vertical="center" wrapText="1"/>
      <protection locked="0"/>
    </xf>
    <xf numFmtId="0" fontId="29" fillId="15" borderId="8" xfId="0" applyFont="1" applyFill="1" applyBorder="1" applyAlignment="1" applyProtection="1">
      <alignment horizontal="center" vertical="center" wrapText="1"/>
    </xf>
    <xf numFmtId="0" fontId="24" fillId="15" borderId="10" xfId="0" applyFont="1" applyFill="1" applyBorder="1" applyAlignment="1" applyProtection="1">
      <alignment horizontal="center" vertical="center" wrapText="1"/>
    </xf>
    <xf numFmtId="0" fontId="24" fillId="15" borderId="9" xfId="0" applyFont="1" applyFill="1" applyBorder="1" applyAlignment="1" applyProtection="1">
      <alignment horizontal="center" vertical="center" wrapText="1"/>
    </xf>
    <xf numFmtId="0" fontId="24" fillId="0" borderId="1" xfId="0" applyFont="1" applyBorder="1" applyAlignment="1" applyProtection="1">
      <alignment horizontal="justify" vertical="center" wrapText="1"/>
    </xf>
    <xf numFmtId="0" fontId="24" fillId="0" borderId="20" xfId="0" applyFont="1" applyBorder="1" applyAlignment="1" applyProtection="1">
      <alignment horizontal="justify" vertical="center" wrapText="1"/>
    </xf>
    <xf numFmtId="0" fontId="24" fillId="0" borderId="2" xfId="0" applyFont="1" applyBorder="1" applyAlignment="1" applyProtection="1">
      <alignment horizontal="justify" vertical="center" wrapText="1"/>
    </xf>
    <xf numFmtId="0" fontId="24" fillId="0" borderId="88" xfId="0" applyFont="1" applyBorder="1" applyAlignment="1" applyProtection="1">
      <alignment horizontal="justify" vertical="center" wrapText="1"/>
    </xf>
    <xf numFmtId="0" fontId="24" fillId="0" borderId="82" xfId="0" applyFont="1" applyBorder="1" applyAlignment="1" applyProtection="1">
      <alignment horizontal="justify" vertical="center" wrapText="1"/>
    </xf>
    <xf numFmtId="0" fontId="24" fillId="0" borderId="89" xfId="0" applyFont="1" applyBorder="1" applyAlignment="1" applyProtection="1">
      <alignment horizontal="justify" vertical="center" wrapText="1"/>
    </xf>
    <xf numFmtId="0" fontId="29" fillId="5" borderId="84" xfId="0" applyFont="1" applyFill="1" applyBorder="1" applyAlignment="1" applyProtection="1">
      <alignment horizontal="left" vertical="center" wrapText="1"/>
    </xf>
    <xf numFmtId="0" fontId="29" fillId="5" borderId="85" xfId="0" applyFont="1" applyFill="1" applyBorder="1" applyAlignment="1" applyProtection="1">
      <alignment horizontal="left" vertical="center" wrapText="1"/>
    </xf>
    <xf numFmtId="0" fontId="24" fillId="0" borderId="1" xfId="0" applyFont="1" applyFill="1" applyBorder="1" applyAlignment="1" applyProtection="1">
      <alignment horizontal="justify" vertical="center" wrapText="1"/>
    </xf>
    <xf numFmtId="0" fontId="24" fillId="0" borderId="20" xfId="0" applyFont="1" applyFill="1" applyBorder="1" applyAlignment="1" applyProtection="1">
      <alignment horizontal="justify" vertical="center" wrapText="1"/>
    </xf>
    <xf numFmtId="0" fontId="24" fillId="0" borderId="2" xfId="0" applyFont="1" applyFill="1" applyBorder="1" applyAlignment="1" applyProtection="1">
      <alignment horizontal="justify" vertical="center" wrapText="1"/>
    </xf>
    <xf numFmtId="0" fontId="24" fillId="0" borderId="3" xfId="0" applyFont="1" applyFill="1" applyBorder="1" applyAlignment="1" applyProtection="1">
      <alignment horizontal="justify" vertical="center" wrapText="1"/>
    </xf>
    <xf numFmtId="0" fontId="24" fillId="0" borderId="0" xfId="0" applyFont="1" applyFill="1" applyBorder="1" applyAlignment="1" applyProtection="1">
      <alignment horizontal="justify" vertical="center" wrapText="1"/>
    </xf>
    <xf numFmtId="0" fontId="24" fillId="0" borderId="4" xfId="0" applyFont="1" applyFill="1" applyBorder="1" applyAlignment="1" applyProtection="1">
      <alignment horizontal="justify" vertical="center" wrapText="1"/>
    </xf>
    <xf numFmtId="0" fontId="24" fillId="0" borderId="5" xfId="0" applyFont="1" applyFill="1" applyBorder="1" applyAlignment="1" applyProtection="1">
      <alignment horizontal="justify" vertical="center" wrapText="1"/>
    </xf>
    <xf numFmtId="0" fontId="24" fillId="0" borderId="19" xfId="0" applyFont="1" applyFill="1" applyBorder="1" applyAlignment="1" applyProtection="1">
      <alignment horizontal="justify" vertical="center" wrapText="1"/>
    </xf>
    <xf numFmtId="0" fontId="24" fillId="0" borderId="6" xfId="0" applyFont="1" applyFill="1" applyBorder="1" applyAlignment="1" applyProtection="1">
      <alignment horizontal="justify" vertical="center" wrapText="1"/>
    </xf>
    <xf numFmtId="0" fontId="31" fillId="0" borderId="68" xfId="0" applyFont="1" applyBorder="1" applyAlignment="1" applyProtection="1">
      <alignment horizontal="center" vertical="center" wrapText="1"/>
    </xf>
    <xf numFmtId="0" fontId="31" fillId="0" borderId="69" xfId="0" applyFont="1" applyBorder="1" applyAlignment="1" applyProtection="1">
      <alignment horizontal="center" vertical="center" wrapText="1"/>
    </xf>
    <xf numFmtId="0" fontId="31" fillId="0" borderId="70" xfId="0" applyFont="1" applyBorder="1" applyAlignment="1" applyProtection="1">
      <alignment horizontal="center" vertical="center" wrapText="1"/>
    </xf>
    <xf numFmtId="0" fontId="31" fillId="0" borderId="80" xfId="0" applyFont="1" applyBorder="1" applyAlignment="1" applyProtection="1">
      <alignment horizontal="center" vertical="center" wrapText="1"/>
    </xf>
    <xf numFmtId="0" fontId="31" fillId="0" borderId="17" xfId="0" applyFont="1" applyBorder="1" applyAlignment="1" applyProtection="1">
      <alignment horizontal="center" vertical="center" wrapText="1"/>
    </xf>
    <xf numFmtId="0" fontId="31" fillId="0" borderId="81" xfId="0" applyFont="1" applyBorder="1" applyAlignment="1" applyProtection="1">
      <alignment horizontal="center" vertical="center" wrapText="1"/>
    </xf>
    <xf numFmtId="0" fontId="31" fillId="0" borderId="64" xfId="0" applyFont="1" applyBorder="1" applyAlignment="1" applyProtection="1">
      <alignment horizontal="center" vertical="center" wrapText="1"/>
    </xf>
    <xf numFmtId="0" fontId="31" fillId="0" borderId="65" xfId="0" applyFont="1" applyBorder="1" applyAlignment="1" applyProtection="1">
      <alignment horizontal="center" vertical="center" wrapText="1"/>
    </xf>
    <xf numFmtId="0" fontId="31" fillId="0" borderId="66" xfId="0" applyFont="1" applyBorder="1" applyAlignment="1" applyProtection="1">
      <alignment horizontal="center" vertical="center" wrapText="1"/>
    </xf>
    <xf numFmtId="0" fontId="24" fillId="0" borderId="82" xfId="0" applyFont="1" applyBorder="1" applyAlignment="1" applyProtection="1">
      <alignment horizontal="center" vertical="center" wrapText="1"/>
    </xf>
    <xf numFmtId="0" fontId="32" fillId="5" borderId="84" xfId="0" applyFont="1" applyFill="1" applyBorder="1" applyAlignment="1" applyProtection="1">
      <alignment horizontal="left" vertical="center" wrapText="1"/>
      <protection locked="0"/>
    </xf>
    <xf numFmtId="0" fontId="32" fillId="5" borderId="85" xfId="0" applyFont="1" applyFill="1" applyBorder="1" applyAlignment="1" applyProtection="1">
      <alignment horizontal="left" vertical="center" wrapText="1"/>
      <protection locked="0"/>
    </xf>
    <xf numFmtId="0" fontId="29" fillId="5" borderId="84" xfId="0" applyFont="1" applyFill="1" applyBorder="1" applyAlignment="1" applyProtection="1">
      <alignment horizontal="center" vertical="center" wrapText="1"/>
      <protection locked="0"/>
    </xf>
    <xf numFmtId="0" fontId="29" fillId="5" borderId="87" xfId="0" applyFont="1" applyFill="1" applyBorder="1" applyAlignment="1" applyProtection="1">
      <alignment horizontal="center" vertical="center" wrapText="1"/>
      <protection locked="0"/>
    </xf>
    <xf numFmtId="0" fontId="29" fillId="5" borderId="85" xfId="0" applyFont="1" applyFill="1" applyBorder="1" applyAlignment="1" applyProtection="1">
      <alignment horizontal="center" vertical="center" wrapText="1"/>
      <protection locked="0"/>
    </xf>
    <xf numFmtId="0" fontId="1" fillId="0" borderId="12" xfId="0" applyFont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3" xfId="0" applyFont="1" applyBorder="1" applyAlignment="1">
      <alignment horizontal="center"/>
    </xf>
    <xf numFmtId="0" fontId="41" fillId="0" borderId="90" xfId="0" applyFont="1" applyBorder="1" applyAlignment="1">
      <alignment horizontal="center" vertical="center" wrapText="1"/>
    </xf>
    <xf numFmtId="0" fontId="41" fillId="0" borderId="39" xfId="0" applyFont="1" applyBorder="1" applyAlignment="1">
      <alignment horizontal="center" vertical="center" wrapText="1"/>
    </xf>
    <xf numFmtId="0" fontId="41" fillId="0" borderId="40" xfId="0" applyFont="1" applyBorder="1" applyAlignment="1">
      <alignment horizontal="center" vertical="center" wrapText="1"/>
    </xf>
    <xf numFmtId="0" fontId="41" fillId="0" borderId="38" xfId="0" applyFont="1" applyBorder="1" applyAlignment="1">
      <alignment horizontal="center" vertical="center" wrapText="1"/>
    </xf>
    <xf numFmtId="0" fontId="41" fillId="0" borderId="0" xfId="0" applyFont="1" applyBorder="1" applyAlignment="1">
      <alignment horizontal="center" vertical="center" wrapText="1"/>
    </xf>
    <xf numFmtId="0" fontId="41" fillId="0" borderId="41" xfId="0" applyFont="1" applyBorder="1" applyAlignment="1">
      <alignment horizontal="center" vertical="center" wrapText="1"/>
    </xf>
    <xf numFmtId="0" fontId="41" fillId="0" borderId="37" xfId="0" applyFont="1" applyBorder="1" applyAlignment="1">
      <alignment horizontal="center" vertical="center" wrapText="1"/>
    </xf>
    <xf numFmtId="0" fontId="41" fillId="0" borderId="36" xfId="0" applyFont="1" applyBorder="1" applyAlignment="1">
      <alignment horizontal="center" vertical="center" wrapText="1"/>
    </xf>
    <xf numFmtId="0" fontId="41" fillId="0" borderId="42" xfId="0" applyFont="1" applyBorder="1" applyAlignment="1">
      <alignment horizontal="center" vertical="center" wrapText="1"/>
    </xf>
    <xf numFmtId="0" fontId="29" fillId="12" borderId="1" xfId="0" applyFont="1" applyFill="1" applyBorder="1" applyAlignment="1">
      <alignment horizontal="center" vertical="center" wrapText="1"/>
    </xf>
    <xf numFmtId="0" fontId="29" fillId="12" borderId="20" xfId="0" applyFont="1" applyFill="1" applyBorder="1" applyAlignment="1">
      <alignment horizontal="center" vertical="center" wrapText="1"/>
    </xf>
    <xf numFmtId="0" fontId="29" fillId="12" borderId="2" xfId="0" applyFont="1" applyFill="1" applyBorder="1" applyAlignment="1">
      <alignment horizontal="center" vertical="center" wrapText="1"/>
    </xf>
    <xf numFmtId="0" fontId="29" fillId="12" borderId="5" xfId="0" applyFont="1" applyFill="1" applyBorder="1" applyAlignment="1">
      <alignment horizontal="center" vertical="center" wrapText="1"/>
    </xf>
    <xf numFmtId="0" fontId="29" fillId="12" borderId="19" xfId="0" applyFont="1" applyFill="1" applyBorder="1" applyAlignment="1">
      <alignment horizontal="center" vertical="center" wrapText="1"/>
    </xf>
    <xf numFmtId="0" fontId="29" fillId="12" borderId="6" xfId="0" applyFont="1" applyFill="1" applyBorder="1" applyAlignment="1">
      <alignment horizontal="center" vertical="center" wrapText="1"/>
    </xf>
    <xf numFmtId="0" fontId="29" fillId="20" borderId="21" xfId="0" applyFont="1" applyFill="1" applyBorder="1" applyAlignment="1">
      <alignment horizontal="center" vertical="center" wrapText="1"/>
    </xf>
    <xf numFmtId="0" fontId="29" fillId="20" borderId="22" xfId="0" applyFont="1" applyFill="1" applyBorder="1" applyAlignment="1">
      <alignment horizontal="center" vertical="center" wrapText="1"/>
    </xf>
    <xf numFmtId="0" fontId="29" fillId="20" borderId="23" xfId="0" applyFont="1" applyFill="1" applyBorder="1" applyAlignment="1">
      <alignment horizontal="center" vertical="center" wrapText="1"/>
    </xf>
    <xf numFmtId="0" fontId="1" fillId="0" borderId="1" xfId="0" applyFont="1" applyBorder="1" applyAlignment="1">
      <alignment horizontal="center"/>
    </xf>
    <xf numFmtId="0" fontId="1" fillId="0" borderId="20" xfId="0" applyFont="1" applyBorder="1" applyAlignment="1">
      <alignment horizontal="center"/>
    </xf>
    <xf numFmtId="0" fontId="1" fillId="0" borderId="2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1" fillId="0" borderId="19" xfId="0" applyFont="1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3" xfId="0" applyFont="1" applyBorder="1" applyAlignment="1">
      <alignment horizontal="center"/>
    </xf>
    <xf numFmtId="0" fontId="1" fillId="0" borderId="0" xfId="0" applyFont="1" applyBorder="1" applyAlignment="1">
      <alignment horizontal="center"/>
    </xf>
    <xf numFmtId="0" fontId="1" fillId="0" borderId="4" xfId="0" applyFont="1" applyBorder="1" applyAlignment="1">
      <alignment horizontal="center"/>
    </xf>
    <xf numFmtId="0" fontId="40" fillId="14" borderId="1" xfId="3" applyFont="1" applyBorder="1" applyAlignment="1">
      <alignment horizontal="center" vertical="center"/>
    </xf>
    <xf numFmtId="0" fontId="40" fillId="14" borderId="20" xfId="3" applyFont="1" applyBorder="1" applyAlignment="1">
      <alignment horizontal="center" vertical="center"/>
    </xf>
    <xf numFmtId="0" fontId="40" fillId="14" borderId="2" xfId="3" applyFont="1" applyBorder="1" applyAlignment="1">
      <alignment horizontal="center" vertical="center"/>
    </xf>
    <xf numFmtId="0" fontId="40" fillId="14" borderId="5" xfId="3" applyFont="1" applyBorder="1" applyAlignment="1">
      <alignment horizontal="center" vertical="center"/>
    </xf>
    <xf numFmtId="0" fontId="40" fillId="14" borderId="19" xfId="3" applyFont="1" applyBorder="1" applyAlignment="1">
      <alignment horizontal="center" vertical="center"/>
    </xf>
    <xf numFmtId="0" fontId="40" fillId="14" borderId="6" xfId="3" applyFont="1" applyBorder="1" applyAlignment="1">
      <alignment horizontal="center" vertical="center"/>
    </xf>
    <xf numFmtId="0" fontId="0" fillId="3" borderId="12" xfId="0" applyFill="1" applyBorder="1" applyAlignment="1">
      <alignment horizontal="center" vertical="center"/>
    </xf>
    <xf numFmtId="0" fontId="0" fillId="3" borderId="13" xfId="0" applyFill="1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4" borderId="14" xfId="0" applyFill="1" applyBorder="1" applyAlignment="1">
      <alignment horizontal="center"/>
    </xf>
    <xf numFmtId="0" fontId="0" fillId="4" borderId="15" xfId="0" applyFill="1" applyBorder="1" applyAlignment="1">
      <alignment horizontal="center"/>
    </xf>
    <xf numFmtId="0" fontId="0" fillId="4" borderId="11" xfId="0" applyFill="1" applyBorder="1" applyAlignment="1">
      <alignment horizontal="center" vertical="center"/>
    </xf>
    <xf numFmtId="0" fontId="0" fillId="3" borderId="0" xfId="0" applyFill="1" applyBorder="1" applyAlignment="1">
      <alignment horizontal="center" vertical="center"/>
    </xf>
    <xf numFmtId="0" fontId="0" fillId="0" borderId="0" xfId="0" applyAlignment="1">
      <alignment horizontal="left" wrapText="1"/>
    </xf>
    <xf numFmtId="0" fontId="14" fillId="2" borderId="14" xfId="0" applyFont="1" applyFill="1" applyBorder="1" applyAlignment="1">
      <alignment horizontal="center"/>
    </xf>
    <xf numFmtId="0" fontId="14" fillId="2" borderId="16" xfId="0" applyFont="1" applyFill="1" applyBorder="1" applyAlignment="1">
      <alignment horizontal="center"/>
    </xf>
    <xf numFmtId="0" fontId="0" fillId="3" borderId="17" xfId="0" applyFill="1" applyBorder="1" applyAlignment="1">
      <alignment horizontal="center" vertical="center"/>
    </xf>
    <xf numFmtId="0" fontId="0" fillId="5" borderId="38" xfId="0" applyFill="1" applyBorder="1" applyAlignment="1">
      <alignment horizontal="center" vertical="center"/>
    </xf>
    <xf numFmtId="0" fontId="0" fillId="5" borderId="0" xfId="0" applyFill="1" applyBorder="1" applyAlignment="1">
      <alignment horizontal="center" vertical="center"/>
    </xf>
    <xf numFmtId="0" fontId="9" fillId="9" borderId="12" xfId="2" applyFont="1" applyFill="1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3" borderId="14" xfId="0" applyFill="1" applyBorder="1" applyAlignment="1">
      <alignment horizontal="center" vertical="center"/>
    </xf>
    <xf numFmtId="0" fontId="0" fillId="3" borderId="15" xfId="0" applyFill="1" applyBorder="1" applyAlignment="1">
      <alignment horizontal="center" vertical="center"/>
    </xf>
    <xf numFmtId="0" fontId="0" fillId="7" borderId="14" xfId="0" applyFill="1" applyBorder="1" applyAlignment="1">
      <alignment horizontal="center" vertical="center"/>
    </xf>
    <xf numFmtId="0" fontId="0" fillId="7" borderId="15" xfId="0" applyFill="1" applyBorder="1" applyAlignment="1">
      <alignment horizontal="center" vertical="center"/>
    </xf>
    <xf numFmtId="0" fontId="0" fillId="7" borderId="16" xfId="0" applyFill="1" applyBorder="1" applyAlignment="1">
      <alignment horizontal="center" vertical="center"/>
    </xf>
    <xf numFmtId="169" fontId="0" fillId="8" borderId="14" xfId="0" applyNumberFormat="1" applyFill="1" applyBorder="1" applyAlignment="1">
      <alignment horizontal="center"/>
    </xf>
    <xf numFmtId="169" fontId="0" fillId="8" borderId="15" xfId="0" applyNumberFormat="1" applyFill="1" applyBorder="1" applyAlignment="1">
      <alignment horizontal="center"/>
    </xf>
    <xf numFmtId="169" fontId="0" fillId="8" borderId="16" xfId="0" applyNumberFormat="1" applyFill="1" applyBorder="1" applyAlignment="1">
      <alignment horizontal="center"/>
    </xf>
    <xf numFmtId="0" fontId="9" fillId="9" borderId="43" xfId="2" applyFont="1" applyFill="1" applyBorder="1"/>
    <xf numFmtId="0" fontId="9" fillId="9" borderId="44" xfId="2" applyFont="1" applyFill="1" applyBorder="1"/>
    <xf numFmtId="0" fontId="9" fillId="9" borderId="45" xfId="2" applyFont="1" applyFill="1" applyBorder="1"/>
    <xf numFmtId="169" fontId="9" fillId="9" borderId="14" xfId="2" applyNumberFormat="1" applyFont="1" applyFill="1" applyBorder="1" applyAlignment="1">
      <alignment horizontal="center"/>
    </xf>
    <xf numFmtId="169" fontId="9" fillId="9" borderId="15" xfId="2" applyNumberFormat="1" applyFont="1" applyFill="1" applyBorder="1" applyAlignment="1">
      <alignment horizontal="center"/>
    </xf>
    <xf numFmtId="169" fontId="9" fillId="9" borderId="16" xfId="2" applyNumberFormat="1" applyFont="1" applyFill="1" applyBorder="1" applyAlignment="1">
      <alignment horizontal="center"/>
    </xf>
    <xf numFmtId="0" fontId="9" fillId="9" borderId="47" xfId="2" applyFont="1" applyFill="1" applyBorder="1"/>
    <xf numFmtId="0" fontId="9" fillId="9" borderId="15" xfId="2" applyFont="1" applyFill="1" applyBorder="1"/>
    <xf numFmtId="0" fontId="9" fillId="9" borderId="16" xfId="2" applyFont="1" applyFill="1" applyBorder="1"/>
    <xf numFmtId="0" fontId="9" fillId="9" borderId="48" xfId="2" applyFont="1" applyFill="1" applyBorder="1" applyAlignment="1">
      <alignment wrapText="1"/>
    </xf>
    <xf numFmtId="0" fontId="9" fillId="9" borderId="39" xfId="2" applyFont="1" applyFill="1" applyBorder="1" applyAlignment="1">
      <alignment wrapText="1"/>
    </xf>
    <xf numFmtId="0" fontId="9" fillId="9" borderId="40" xfId="2" applyFont="1" applyFill="1" applyBorder="1" applyAlignment="1">
      <alignment wrapText="1"/>
    </xf>
    <xf numFmtId="0" fontId="0" fillId="0" borderId="49" xfId="0" applyBorder="1" applyAlignment="1">
      <alignment wrapText="1"/>
    </xf>
    <xf numFmtId="0" fontId="0" fillId="0" borderId="36" xfId="0" applyBorder="1" applyAlignment="1">
      <alignment wrapText="1"/>
    </xf>
    <xf numFmtId="0" fontId="0" fillId="0" borderId="42" xfId="0" applyBorder="1" applyAlignment="1">
      <alignment wrapText="1"/>
    </xf>
    <xf numFmtId="0" fontId="9" fillId="9" borderId="50" xfId="2" applyFont="1" applyFill="1" applyBorder="1"/>
    <xf numFmtId="0" fontId="9" fillId="9" borderId="51" xfId="2" applyFont="1" applyFill="1" applyBorder="1"/>
    <xf numFmtId="0" fontId="9" fillId="9" borderId="52" xfId="2" applyFont="1" applyFill="1" applyBorder="1"/>
    <xf numFmtId="0" fontId="9" fillId="9" borderId="14" xfId="2" applyFont="1" applyFill="1" applyBorder="1" applyAlignment="1">
      <alignment horizontal="left"/>
    </xf>
    <xf numFmtId="0" fontId="9" fillId="9" borderId="16" xfId="2" applyFont="1" applyFill="1" applyBorder="1" applyAlignment="1">
      <alignment horizontal="left"/>
    </xf>
    <xf numFmtId="0" fontId="9" fillId="9" borderId="15" xfId="2" applyFont="1" applyFill="1" applyBorder="1" applyAlignment="1">
      <alignment horizontal="left"/>
    </xf>
    <xf numFmtId="1" fontId="9" fillId="9" borderId="14" xfId="2" applyNumberFormat="1" applyFont="1" applyFill="1" applyBorder="1" applyAlignment="1">
      <alignment horizontal="center"/>
    </xf>
    <xf numFmtId="1" fontId="9" fillId="9" borderId="15" xfId="2" applyNumberFormat="1" applyFont="1" applyFill="1" applyBorder="1" applyAlignment="1">
      <alignment horizontal="center"/>
    </xf>
    <xf numFmtId="1" fontId="9" fillId="9" borderId="16" xfId="2" applyNumberFormat="1" applyFont="1" applyFill="1" applyBorder="1" applyAlignment="1">
      <alignment horizontal="center"/>
    </xf>
    <xf numFmtId="0" fontId="9" fillId="0" borderId="11" xfId="2" applyFont="1" applyFill="1" applyBorder="1" applyAlignment="1">
      <alignment horizontal="center"/>
    </xf>
    <xf numFmtId="0" fontId="16" fillId="9" borderId="14" xfId="2" applyFont="1" applyFill="1" applyBorder="1" applyAlignment="1">
      <alignment horizontal="center"/>
    </xf>
    <xf numFmtId="0" fontId="16" fillId="9" borderId="16" xfId="2" applyFont="1" applyFill="1" applyBorder="1" applyAlignment="1">
      <alignment horizontal="center"/>
    </xf>
    <xf numFmtId="0" fontId="9" fillId="0" borderId="0" xfId="2" applyFont="1" applyFill="1" applyAlignment="1">
      <alignment horizontal="center"/>
    </xf>
    <xf numFmtId="166" fontId="16" fillId="0" borderId="11" xfId="2" applyNumberFormat="1" applyFont="1" applyFill="1" applyBorder="1" applyAlignment="1">
      <alignment horizontal="center"/>
    </xf>
    <xf numFmtId="0" fontId="16" fillId="0" borderId="11" xfId="2" applyFont="1" applyFill="1" applyBorder="1" applyAlignment="1">
      <alignment horizontal="center"/>
    </xf>
  </cellXfs>
  <cellStyles count="4">
    <cellStyle name="Estilo 1" xfId="3" xr:uid="{00000000-0005-0000-0000-000000000000}"/>
    <cellStyle name="Normal" xfId="0" builtinId="0"/>
    <cellStyle name="Normal 2" xfId="2" xr:uid="{00000000-0005-0000-0000-000002000000}"/>
    <cellStyle name="Porcentaje" xfId="1" builtinId="5"/>
  </cellStyles>
  <dxfs count="12"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numFmt numFmtId="2" formatCode="0.00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medium">
          <color indexed="64"/>
        </left>
        <right style="medium">
          <color indexed="64"/>
        </right>
        <top style="thin">
          <color auto="1"/>
        </top>
        <bottom style="thin">
          <color auto="1"/>
        </bottom>
      </border>
    </dxf>
    <dxf>
      <border outline="0">
        <top style="medium">
          <color indexed="64"/>
        </top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auto="1"/>
        <name val="Arial"/>
        <scheme val="none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Arial"/>
        <scheme val="none"/>
      </font>
      <fill>
        <patternFill patternType="solid">
          <fgColor indexed="64"/>
          <bgColor rgb="FF00B0F0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</dxf>
  </dxfs>
  <tableStyles count="1" defaultTableStyle="TableStyleMedium2" defaultPivotStyle="PivotStyleLight16">
    <tableStyle name="Invisible" pivot="0" table="0" count="0" xr9:uid="{00000000-0011-0000-FFFF-FFFF00000000}"/>
  </tableStyles>
  <colors>
    <mruColors>
      <color rgb="FF00FF00"/>
      <color rgb="FF00B0F0"/>
      <color rgb="FFFF33CC"/>
      <color rgb="FFF2F2F2"/>
      <color rgb="FF0070C0"/>
      <color rgb="FF0066FF"/>
      <color rgb="FF000099"/>
      <color rgb="FF66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180359177012044"/>
          <c:y val="4.9196789093254478E-2"/>
          <c:w val="0.87004645679749715"/>
          <c:h val="0.87982535969963949"/>
        </c:manualLayout>
      </c:layout>
      <c:scatterChart>
        <c:scatterStyle val="lineMarker"/>
        <c:varyColors val="0"/>
        <c:ser>
          <c:idx val="1"/>
          <c:order val="0"/>
          <c:tx>
            <c:strRef>
              <c:f>'PESAS RT0 F25'!$C$170</c:f>
              <c:strCache>
                <c:ptCount val="1"/>
                <c:pt idx="0">
                  <c:v>Lim Inf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strRef>
              <c:f>'PESAS RT0 F25'!$D$168:$F$168</c:f>
              <c:strCache>
                <c:ptCount val="3"/>
                <c:pt idx="0">
                  <c:v>M1</c:v>
                </c:pt>
                <c:pt idx="1">
                  <c:v>M2</c:v>
                </c:pt>
                <c:pt idx="2">
                  <c:v>M3</c:v>
                </c:pt>
              </c:strCache>
            </c:strRef>
          </c:xVal>
          <c:yVal>
            <c:numRef>
              <c:f>'PESAS RT0 F25'!$D$170:$F$170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2884-4630-ACB5-4B4B34F1CB5E}"/>
            </c:ext>
          </c:extLst>
        </c:ser>
        <c:ser>
          <c:idx val="2"/>
          <c:order val="1"/>
          <c:tx>
            <c:strRef>
              <c:f>'PESAS RT0 F25'!$C$171</c:f>
              <c:strCache>
                <c:ptCount val="1"/>
                <c:pt idx="0">
                  <c:v>Media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solidFill>
                <a:srgbClr val="FFFF00"/>
              </a:soli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xVal>
            <c:strRef>
              <c:f>'PESAS RT0 F25'!$D$168:$F$168</c:f>
              <c:strCache>
                <c:ptCount val="3"/>
                <c:pt idx="0">
                  <c:v>M1</c:v>
                </c:pt>
                <c:pt idx="1">
                  <c:v>M2</c:v>
                </c:pt>
                <c:pt idx="2">
                  <c:v>M3</c:v>
                </c:pt>
              </c:strCache>
            </c:strRef>
          </c:xVal>
          <c:yVal>
            <c:numRef>
              <c:f>'PESAS RT0 F25'!$D$171:$F$171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2884-4630-ACB5-4B4B34F1CB5E}"/>
            </c:ext>
          </c:extLst>
        </c:ser>
        <c:ser>
          <c:idx val="0"/>
          <c:order val="2"/>
          <c:tx>
            <c:strRef>
              <c:f>'PESAS RT0 F25'!$C$169</c:f>
              <c:strCache>
                <c:ptCount val="1"/>
                <c:pt idx="0">
                  <c:v>Lim Sup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none"/>
          </c:marker>
          <c:xVal>
            <c:strRef>
              <c:f>'PESAS RT0 F25'!$D$168:$F$168</c:f>
              <c:strCache>
                <c:ptCount val="3"/>
                <c:pt idx="0">
                  <c:v>M1</c:v>
                </c:pt>
                <c:pt idx="1">
                  <c:v>M2</c:v>
                </c:pt>
                <c:pt idx="2">
                  <c:v>M3</c:v>
                </c:pt>
              </c:strCache>
            </c:strRef>
          </c:xVal>
          <c:yVal>
            <c:numRef>
              <c:f>'PESAS RT0 F25'!$D$169:$F$169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7AF9-4E3B-B546-69A58E475F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340800"/>
        <c:axId val="201342336"/>
      </c:scatterChart>
      <c:valAx>
        <c:axId val="20134080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342336"/>
        <c:crosses val="autoZero"/>
        <c:crossBetween val="midCat"/>
      </c:valAx>
      <c:valAx>
        <c:axId val="2013423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34080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29277685030606565"/>
          <c:y val="8.82286023929403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>
        <c:manualLayout>
          <c:layoutTarget val="inner"/>
          <c:xMode val="edge"/>
          <c:yMode val="edge"/>
          <c:x val="0.18800240594925635"/>
          <c:y val="7.4548702245552642E-2"/>
          <c:w val="0.7455704286964131"/>
          <c:h val="0.72077133215490918"/>
        </c:manualLayout>
      </c:layout>
      <c:scatterChart>
        <c:scatterStyle val="lineMarker"/>
        <c:varyColors val="0"/>
        <c:ser>
          <c:idx val="0"/>
          <c:order val="0"/>
          <c:tx>
            <c:strRef>
              <c:f>'PESAS RT0 F25'!$AF$32:$AJ$32</c:f>
              <c:strCache>
                <c:ptCount val="1"/>
                <c:pt idx="0">
                  <c:v>GRAFICA DE LINEALIDAD</c:v>
                </c:pt>
              </c:strCache>
            </c:strRef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w="9525" cap="rnd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trendline>
            <c:spPr>
              <a:ln w="25400" cap="rnd">
                <a:solidFill>
                  <a:srgbClr val="00FF00"/>
                </a:solidFill>
                <a:prstDash val="sysDash"/>
              </a:ln>
              <a:effectLst/>
            </c:spPr>
            <c:trendlineType val="linear"/>
            <c:dispRSqr val="0"/>
            <c:dispEq val="0"/>
          </c:trendline>
          <c:trendline>
            <c:spPr>
              <a:ln w="19050" cap="rnd">
                <a:solidFill>
                  <a:schemeClr val="accent1"/>
                </a:solidFill>
                <a:prstDash val="sysDash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7.1456205142498785E-2"/>
                  <c:y val="-0.20790518557106938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'PESAS RT0 F25'!$AG$75:$AG$78</c:f>
              <c:numCache>
                <c:formatCode>0.00</c:formatCode>
                <c:ptCount val="4"/>
                <c:pt idx="0">
                  <c:v>0.49999999990686916</c:v>
                </c:pt>
                <c:pt idx="1">
                  <c:v>0.75000000002328449</c:v>
                </c:pt>
                <c:pt idx="2">
                  <c:v>0.87500000002328449</c:v>
                </c:pt>
                <c:pt idx="3">
                  <c:v>0.87500000002328449</c:v>
                </c:pt>
              </c:numCache>
            </c:numRef>
          </c:xVal>
          <c:yVal>
            <c:numRef>
              <c:f>'PESAS RT0 F25'!$AJ$34:$AJ$78</c:f>
              <c:numCache>
                <c:formatCode>0.000</c:formatCode>
                <c:ptCount val="4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C308-4060-BB8C-9282D7268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208960"/>
        <c:axId val="201210880"/>
      </c:scatterChart>
      <c:valAx>
        <c:axId val="20120896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residuos ordenados</a:t>
                </a:r>
              </a:p>
            </c:rich>
          </c:tx>
          <c:layout>
            <c:manualLayout>
              <c:xMode val="edge"/>
              <c:yMode val="edge"/>
              <c:x val="1.3092687287210268E-4"/>
              <c:y val="0.92089205620977155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210880"/>
        <c:crosses val="autoZero"/>
        <c:crossBetween val="midCat"/>
      </c:valAx>
      <c:valAx>
        <c:axId val="201210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PERCENTILES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208960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scatterChart>
        <c:scatterStyle val="lineMarker"/>
        <c:varyColors val="0"/>
        <c:ser>
          <c:idx val="0"/>
          <c:order val="0"/>
          <c:tx>
            <c:v>M1</c:v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 cap="rnd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xVal>
            <c:numRef>
              <c:f>'PESAS RT0 F25'!$K$69:$K$83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xVal>
          <c:yVal>
            <c:numRef>
              <c:f>'PESAS RT0 F25'!$S$69:$S$83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650-43E5-8544-2FEB5F1C532B}"/>
            </c:ext>
          </c:extLst>
        </c:ser>
        <c:ser>
          <c:idx val="1"/>
          <c:order val="1"/>
          <c:tx>
            <c:v>M2</c:v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 cap="rnd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xVal>
            <c:numRef>
              <c:f>'PESAS RT0 F25'!$L$69:$L$83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xVal>
          <c:yVal>
            <c:numRef>
              <c:f>'PESAS RT0 F25'!$T$69:$T$83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650-43E5-8544-2FEB5F1C532B}"/>
            </c:ext>
          </c:extLst>
        </c:ser>
        <c:ser>
          <c:idx val="3"/>
          <c:order val="2"/>
          <c:tx>
            <c:v>M3</c:v>
          </c:tx>
          <c:spPr>
            <a:ln w="25400" cap="rnd">
              <a:noFill/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 cap="rnd">
                <a:solidFill>
                  <a:schemeClr val="accent4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xVal>
            <c:numRef>
              <c:f>'PESAS RT0 F25'!$M$69:$M$83</c:f>
              <c:numCache>
                <c:formatCode>0.0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xVal>
          <c:yVal>
            <c:numRef>
              <c:f>'PESAS RT0 F25'!$U$69:$U$83</c:f>
              <c:numCache>
                <c:formatCode>0.00</c:formatCode>
                <c:ptCount val="1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B650-43E5-8544-2FEB5F1C53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865088"/>
        <c:axId val="201871744"/>
      </c:scatterChart>
      <c:valAx>
        <c:axId val="20186508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VALORES PREVISTOS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871744"/>
        <c:crosses val="autoZero"/>
        <c:crossBetween val="midCat"/>
      </c:valAx>
      <c:valAx>
        <c:axId val="2018717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wordArtVert" wrap="square" anchor="ctr" anchorCtr="1"/>
              <a:lstStyle/>
              <a:p>
                <a:pPr>
                  <a:defRPr sz="900" b="1" i="0" u="none" strike="noStrike" kern="1200" cap="all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US"/>
                  <a:t>RESIDUOS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wordArtVert" wrap="square" anchor="ctr" anchorCtr="1"/>
            <a:lstStyle/>
            <a:p>
              <a:pPr>
                <a:defRPr sz="900" b="1" i="0" u="none" strike="noStrike" kern="1200" cap="all" baseline="0">
                  <a:solidFill>
                    <a:schemeClr val="lt1">
                      <a:lumMod val="7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CO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50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86508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7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de Correlacion</a:t>
            </a:r>
          </a:p>
        </c:rich>
      </c:tx>
      <c:overlay val="0"/>
      <c:spPr>
        <a:noFill/>
        <a:ln>
          <a:noFill/>
        </a:ln>
        <a:effectLst/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'HYK '!$C$175</c:f>
              <c:strCache>
                <c:ptCount val="1"/>
                <c:pt idx="0">
                  <c:v>sr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1"/>
                </a:solidFill>
                <a:prstDash val="sysDot"/>
              </a:ln>
              <a:effectLst/>
            </c:spPr>
            <c:trendlineType val="linear"/>
            <c:dispRSqr val="1"/>
            <c:dispEq val="1"/>
            <c:trendlineLbl>
              <c:layout>
                <c:manualLayout>
                  <c:x val="-0.60477939013199156"/>
                  <c:y val="-0.26904148113428639"/>
                </c:manualLayout>
              </c:layout>
              <c:numFmt formatCode="General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anchor="ctr" anchorCtr="1"/>
                <a:lstStyle/>
                <a:p>
                  <a:pPr>
                    <a:defRPr sz="900" b="0" i="0" u="none" strike="noStrike" kern="1200" baseline="0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CO"/>
                </a:p>
              </c:txPr>
            </c:trendlineLbl>
          </c:trendline>
          <c:xVal>
            <c:numRef>
              <c:f>'HYK '!$B$176:$B$180</c:f>
              <c:numCache>
                <c:formatCode>0.00000</c:formatCode>
                <c:ptCount val="5"/>
                <c:pt idx="0">
                  <c:v>26.214999999999996</c:v>
                </c:pt>
                <c:pt idx="1">
                  <c:v>69.650000000000006</c:v>
                </c:pt>
                <c:pt idx="2">
                  <c:v>255.75</c:v>
                </c:pt>
                <c:pt idx="3">
                  <c:v>543.79999999999995</c:v>
                </c:pt>
                <c:pt idx="4">
                  <c:v>1252.8421052631579</c:v>
                </c:pt>
              </c:numCache>
            </c:numRef>
          </c:xVal>
          <c:yVal>
            <c:numRef>
              <c:f>'HYK '!$C$176:$C$180</c:f>
              <c:numCache>
                <c:formatCode>0.00000</c:formatCode>
                <c:ptCount val="5"/>
                <c:pt idx="0">
                  <c:v>0.39019226030253329</c:v>
                </c:pt>
                <c:pt idx="1">
                  <c:v>0.27703790354390129</c:v>
                </c:pt>
                <c:pt idx="2">
                  <c:v>0.61237243569579447</c:v>
                </c:pt>
                <c:pt idx="3">
                  <c:v>0.8152949664709952</c:v>
                </c:pt>
                <c:pt idx="4">
                  <c:v>1.8439088914585775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12F9-4E15-96A4-EA090CCA202B}"/>
            </c:ext>
          </c:extLst>
        </c:ser>
        <c:ser>
          <c:idx val="1"/>
          <c:order val="1"/>
          <c:tx>
            <c:strRef>
              <c:f>'HYK '!$D$175</c:f>
              <c:strCache>
                <c:ptCount val="1"/>
                <c:pt idx="0">
                  <c:v>sR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trendline>
            <c:spPr>
              <a:ln w="19050" cap="rnd">
                <a:solidFill>
                  <a:schemeClr val="accent2"/>
                </a:solidFill>
                <a:prstDash val="sysDot"/>
              </a:ln>
              <a:effectLst/>
            </c:spPr>
            <c:trendlineType val="linear"/>
            <c:dispRSqr val="0"/>
            <c:dispEq val="0"/>
          </c:trendline>
          <c:trendline>
            <c:trendlineType val="linear"/>
            <c:dispRSqr val="0"/>
            <c:dispEq val="0"/>
          </c:trendline>
          <c:trendline>
            <c:trendlineType val="linear"/>
            <c:dispRSqr val="1"/>
            <c:dispEq val="1"/>
            <c:trendlineLbl>
              <c:layout>
                <c:manualLayout>
                  <c:x val="2.0583463443032902E-2"/>
                  <c:y val="-0.21722639424642654"/>
                </c:manualLayout>
              </c:layout>
              <c:numFmt formatCode="General" sourceLinked="0"/>
            </c:trendlineLbl>
          </c:trendline>
          <c:xVal>
            <c:numRef>
              <c:f>'HYK '!$B$176:$B$180</c:f>
              <c:numCache>
                <c:formatCode>0.00000</c:formatCode>
                <c:ptCount val="5"/>
                <c:pt idx="0">
                  <c:v>26.214999999999996</c:v>
                </c:pt>
                <c:pt idx="1">
                  <c:v>69.650000000000006</c:v>
                </c:pt>
                <c:pt idx="2">
                  <c:v>255.75</c:v>
                </c:pt>
                <c:pt idx="3">
                  <c:v>543.79999999999995</c:v>
                </c:pt>
                <c:pt idx="4">
                  <c:v>1252.8421052631579</c:v>
                </c:pt>
              </c:numCache>
            </c:numRef>
          </c:xVal>
          <c:yVal>
            <c:numRef>
              <c:f>'HYK '!$D$176:$D$180</c:f>
              <c:numCache>
                <c:formatCode>0.00000</c:formatCode>
                <c:ptCount val="5"/>
                <c:pt idx="0">
                  <c:v>0.43177926459427607</c:v>
                </c:pt>
                <c:pt idx="1">
                  <c:v>0.30144098372272166</c:v>
                </c:pt>
                <c:pt idx="2">
                  <c:v>0.6454972243679028</c:v>
                </c:pt>
                <c:pt idx="3">
                  <c:v>0.79976600860592095</c:v>
                </c:pt>
                <c:pt idx="4">
                  <c:v>1.8737464945733524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12F9-4E15-96A4-EA090CCA20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99530368"/>
        <c:axId val="199531904"/>
      </c:scatterChart>
      <c:valAx>
        <c:axId val="19953036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9531904"/>
        <c:crosses val="autoZero"/>
        <c:crossBetween val="midCat"/>
      </c:valAx>
      <c:valAx>
        <c:axId val="1995319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199530368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sr=0,07804 </a:t>
            </a:r>
          </a:p>
        </c:rich>
      </c:tx>
      <c:overlay val="0"/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'HYK '!$A$195</c:f>
              <c:strCache>
                <c:ptCount val="1"/>
                <c:pt idx="0">
                  <c:v>sr=0,07804 µm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trendline>
            <c:trendlineType val="linear"/>
            <c:dispRSqr val="1"/>
            <c:dispEq val="1"/>
            <c:trendlineLbl>
              <c:layout>
                <c:manualLayout>
                  <c:x val="-0.31396820159577149"/>
                  <c:y val="-0.22017862816394254"/>
                </c:manualLayout>
              </c:layout>
              <c:numFmt formatCode="General" sourceLinked="0"/>
            </c:trendlineLbl>
          </c:trendline>
          <c:xVal>
            <c:numRef>
              <c:f>'HYK '!$B$191:$F$191</c:f>
              <c:numCache>
                <c:formatCode>0.0000</c:formatCode>
                <c:ptCount val="5"/>
                <c:pt idx="0">
                  <c:v>26.214999999999996</c:v>
                </c:pt>
                <c:pt idx="1">
                  <c:v>69.650000000000006</c:v>
                </c:pt>
                <c:pt idx="2">
                  <c:v>255.75</c:v>
                </c:pt>
                <c:pt idx="3">
                  <c:v>543.79999999999995</c:v>
                </c:pt>
                <c:pt idx="4">
                  <c:v>1252.8421052631579</c:v>
                </c:pt>
              </c:numCache>
            </c:numRef>
          </c:xVal>
          <c:yVal>
            <c:numRef>
              <c:f>'HYK '!$B$195:$F$195</c:f>
              <c:numCache>
                <c:formatCode>0.000000</c:formatCode>
                <c:ptCount val="5"/>
                <c:pt idx="0">
                  <c:v>2.045778020766182</c:v>
                </c:pt>
                <c:pt idx="1">
                  <c:v>5.4353781860142893</c:v>
                </c:pt>
                <c:pt idx="2">
                  <c:v>19.958334114474578</c:v>
                </c:pt>
                <c:pt idx="3">
                  <c:v>42.43731023050352</c:v>
                </c:pt>
                <c:pt idx="4">
                  <c:v>97.769858570963194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FA2A-4285-9A52-CA5E9B239E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201748864"/>
        <c:axId val="201750400"/>
      </c:scatterChart>
      <c:valAx>
        <c:axId val="2017488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750400"/>
        <c:crosses val="autoZero"/>
        <c:crossBetween val="midCat"/>
      </c:valAx>
      <c:valAx>
        <c:axId val="20175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748864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'!$B$46:$F$46</c:f>
              <c:numCache>
                <c:formatCode>0.00</c:formatCode>
                <c:ptCount val="5"/>
                <c:pt idx="0">
                  <c:v>-1.0816939898006666</c:v>
                </c:pt>
                <c:pt idx="1">
                  <c:v>1.2233586288744867</c:v>
                </c:pt>
                <c:pt idx="2">
                  <c:v>0.14638501094231562</c:v>
                </c:pt>
                <c:pt idx="3">
                  <c:v>-1.2247448713914151</c:v>
                </c:pt>
                <c:pt idx="4">
                  <c:v>0.40575133560025267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B2-42CE-A0A6-AE3DCE1E3C30}"/>
            </c:ext>
          </c:extLst>
        </c:ser>
        <c:ser>
          <c:idx val="2"/>
          <c:order val="1"/>
          <c:tx>
            <c:v>M3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'!$B$48:$F$48</c:f>
              <c:numCache>
                <c:formatCode>0.00</c:formatCode>
                <c:ptCount val="5"/>
                <c:pt idx="0">
                  <c:v>0.72768504768409747</c:v>
                </c:pt>
                <c:pt idx="1">
                  <c:v>-0.75731724644610676</c:v>
                </c:pt>
                <c:pt idx="2">
                  <c:v>-1.0246950765959597</c:v>
                </c:pt>
                <c:pt idx="3">
                  <c:v>0</c:v>
                </c:pt>
                <c:pt idx="4">
                  <c:v>-1.4877548972013364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B2-42CE-A0A6-AE3DCE1E3C30}"/>
            </c:ext>
          </c:extLst>
        </c:ser>
        <c:ser>
          <c:idx val="3"/>
          <c:order val="2"/>
          <c:tx>
            <c:v>M4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'!$B$49:$F$49</c:f>
              <c:numCache>
                <c:formatCode>0.00</c:formatCode>
                <c:ptCount val="5"/>
                <c:pt idx="0">
                  <c:v>-0.6096820669785652</c:v>
                </c:pt>
                <c:pt idx="1">
                  <c:v>-0.87382759205318106</c:v>
                </c:pt>
                <c:pt idx="2">
                  <c:v>1.3174650984805079</c:v>
                </c:pt>
                <c:pt idx="3">
                  <c:v>0</c:v>
                </c:pt>
                <c:pt idx="4">
                  <c:v>0.67625222600052359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B2-42CE-A0A6-AE3DCE1E3C30}"/>
            </c:ext>
          </c:extLst>
        </c:ser>
        <c:ser>
          <c:idx val="8"/>
          <c:order val="7"/>
          <c:tx>
            <c:v>M2</c:v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'!$B$47:$F$47</c:f>
              <c:numCache>
                <c:formatCode>0.00</c:formatCode>
                <c:ptCount val="5"/>
                <c:pt idx="0">
                  <c:v>0.96369100909516225</c:v>
                </c:pt>
                <c:pt idx="1">
                  <c:v>0.40778620962480128</c:v>
                </c:pt>
                <c:pt idx="2">
                  <c:v>-0.43915503282686369</c:v>
                </c:pt>
                <c:pt idx="3">
                  <c:v>1.2247448713917632</c:v>
                </c:pt>
                <c:pt idx="4">
                  <c:v>0.40575133560025267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CB2-42CE-A0A6-AE3DCE1E3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1833472"/>
        <c:axId val="201835264"/>
      </c:barChart>
      <c:lineChart>
        <c:grouping val="standard"/>
        <c:varyColors val="0"/>
        <c:ser>
          <c:idx val="4"/>
          <c:order val="3"/>
          <c:tx>
            <c:strRef>
              <c:f>'HYK '!$J$45</c:f>
              <c:strCache>
                <c:ptCount val="1"/>
                <c:pt idx="0">
                  <c:v>1%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'!$J$46:$J$50</c:f>
              <c:numCache>
                <c:formatCode>General</c:formatCode>
                <c:ptCount val="5"/>
                <c:pt idx="0">
                  <c:v>1.49</c:v>
                </c:pt>
                <c:pt idx="1">
                  <c:v>1.49</c:v>
                </c:pt>
                <c:pt idx="2">
                  <c:v>1.49</c:v>
                </c:pt>
                <c:pt idx="3">
                  <c:v>1.49</c:v>
                </c:pt>
                <c:pt idx="4">
                  <c:v>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CB2-42CE-A0A6-AE3DCE1E3C30}"/>
            </c:ext>
          </c:extLst>
        </c:ser>
        <c:ser>
          <c:idx val="5"/>
          <c:order val="4"/>
          <c:tx>
            <c:strRef>
              <c:f>'HYK '!$K$45</c:f>
              <c:strCache>
                <c:ptCount val="1"/>
                <c:pt idx="0">
                  <c:v>5%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'!$K$46:$K$50</c:f>
              <c:numCache>
                <c:formatCode>General</c:formatCode>
                <c:ptCount val="5"/>
                <c:pt idx="0">
                  <c:v>1.42</c:v>
                </c:pt>
                <c:pt idx="1">
                  <c:v>1.42</c:v>
                </c:pt>
                <c:pt idx="2">
                  <c:v>1.42</c:v>
                </c:pt>
                <c:pt idx="3">
                  <c:v>1.42</c:v>
                </c:pt>
                <c:pt idx="4">
                  <c:v>1.42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CB2-42CE-A0A6-AE3DCE1E3C30}"/>
            </c:ext>
          </c:extLst>
        </c:ser>
        <c:ser>
          <c:idx val="6"/>
          <c:order val="5"/>
          <c:tx>
            <c:strRef>
              <c:f>'HYK '!$L$45</c:f>
              <c:strCache>
                <c:ptCount val="1"/>
                <c:pt idx="0">
                  <c:v>Negativo 1%</c:v>
                </c:pt>
              </c:strCache>
            </c:strRef>
          </c:tx>
          <c:spPr>
            <a:ln w="28575" cap="rnd">
              <a:solidFill>
                <a:schemeClr val="accent1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'!$L$46:$L$50</c:f>
              <c:numCache>
                <c:formatCode>General</c:formatCode>
                <c:ptCount val="5"/>
                <c:pt idx="0">
                  <c:v>-1.49</c:v>
                </c:pt>
                <c:pt idx="1">
                  <c:v>-1.49</c:v>
                </c:pt>
                <c:pt idx="2">
                  <c:v>-1.49</c:v>
                </c:pt>
                <c:pt idx="3">
                  <c:v>-1.49</c:v>
                </c:pt>
                <c:pt idx="4">
                  <c:v>-1.49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CB2-42CE-A0A6-AE3DCE1E3C30}"/>
            </c:ext>
          </c:extLst>
        </c:ser>
        <c:ser>
          <c:idx val="7"/>
          <c:order val="6"/>
          <c:tx>
            <c:strRef>
              <c:f>'HYK '!$M$45</c:f>
              <c:strCache>
                <c:ptCount val="1"/>
                <c:pt idx="0">
                  <c:v>Negativo 5%</c:v>
                </c:pt>
              </c:strCache>
            </c:strRef>
          </c:tx>
          <c:spPr>
            <a:ln w="28575" cap="rnd">
              <a:solidFill>
                <a:schemeClr val="accent2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'!$M$46:$M$50</c:f>
              <c:numCache>
                <c:formatCode>General</c:formatCode>
                <c:ptCount val="5"/>
                <c:pt idx="0">
                  <c:v>-1.42</c:v>
                </c:pt>
                <c:pt idx="1">
                  <c:v>-1.42</c:v>
                </c:pt>
                <c:pt idx="2">
                  <c:v>-1.42</c:v>
                </c:pt>
                <c:pt idx="3">
                  <c:v>-1.42</c:v>
                </c:pt>
                <c:pt idx="4">
                  <c:v>-1.42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FCB2-42CE-A0A6-AE3DCE1E3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833472"/>
        <c:axId val="201835264"/>
      </c:lineChart>
      <c:catAx>
        <c:axId val="201833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835264"/>
        <c:crosses val="autoZero"/>
        <c:auto val="1"/>
        <c:lblAlgn val="ctr"/>
        <c:lblOffset val="100"/>
        <c:noMultiLvlLbl val="0"/>
      </c:catAx>
      <c:valAx>
        <c:axId val="201835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1833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legendEntry>
        <c:idx val="6"/>
        <c:delete val="1"/>
      </c:legendEntry>
      <c:legendEntry>
        <c:idx val="7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Grafico k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M1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'!$B$84:$F$84</c:f>
              <c:numCache>
                <c:formatCode>0.00</c:formatCode>
                <c:ptCount val="5"/>
                <c:pt idx="0">
                  <c:v>0.92008741245647307</c:v>
                </c:pt>
                <c:pt idx="1">
                  <c:v>0.69006555934236391</c:v>
                </c:pt>
                <c:pt idx="2">
                  <c:v>1.1501092655705902</c:v>
                </c:pt>
                <c:pt idx="3">
                  <c:v>1.1501092655705902</c:v>
                </c:pt>
                <c:pt idx="4">
                  <c:v>6.9006555934235418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E72-4EAA-84D6-F0576BF444FC}"/>
            </c:ext>
          </c:extLst>
        </c:ser>
        <c:ser>
          <c:idx val="2"/>
          <c:order val="1"/>
          <c:tx>
            <c:v>M3</c:v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'!$B$86:$F$86</c:f>
              <c:numCache>
                <c:formatCode>0.00</c:formatCode>
                <c:ptCount val="5"/>
                <c:pt idx="0">
                  <c:v>1.4951420452417681</c:v>
                </c:pt>
                <c:pt idx="1">
                  <c:v>0.34503277967117379</c:v>
                </c:pt>
                <c:pt idx="2">
                  <c:v>1.1501092655705902</c:v>
                </c:pt>
                <c:pt idx="3">
                  <c:v>1.1501092655705902</c:v>
                </c:pt>
                <c:pt idx="4">
                  <c:v>2.3002185311411805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E72-4EAA-84D6-F0576BF444FC}"/>
            </c:ext>
          </c:extLst>
        </c:ser>
        <c:ser>
          <c:idx val="3"/>
          <c:order val="2"/>
          <c:tx>
            <c:v>M4</c:v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numRef>
              <c:f>'HYK '!$B$45:$F$45</c:f>
              <c:numCache>
                <c:formatCode>General</c:formatCode>
                <c:ptCount val="5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</c:numCache>
            </c:numRef>
          </c:cat>
          <c:val>
            <c:numRef>
              <c:f>'HYK '!$B$87:$F$87</c:f>
              <c:numCache>
                <c:formatCode>0.00</c:formatCode>
                <c:ptCount val="5"/>
                <c:pt idx="0">
                  <c:v>0.92008741245647307</c:v>
                </c:pt>
                <c:pt idx="1">
                  <c:v>1.3801311186847118</c:v>
                </c:pt>
                <c:pt idx="2">
                  <c:v>2.3002185311411805</c:v>
                </c:pt>
                <c:pt idx="3">
                  <c:v>3.4503277967117709</c:v>
                </c:pt>
                <c:pt idx="4">
                  <c:v>0.60043706228236093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E72-4EAA-84D6-F0576BF444FC}"/>
            </c:ext>
          </c:extLst>
        </c:ser>
        <c:ser>
          <c:idx val="6"/>
          <c:order val="5"/>
          <c:tx>
            <c:v>M2</c:v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'HYK '!$B$85:$F$85</c:f>
              <c:numCache>
                <c:formatCode>0.00</c:formatCode>
                <c:ptCount val="5"/>
                <c:pt idx="0">
                  <c:v>1.0350983390135298</c:v>
                </c:pt>
                <c:pt idx="1">
                  <c:v>0.34503277967117379</c:v>
                </c:pt>
                <c:pt idx="2">
                  <c:v>1.1501092655705902</c:v>
                </c:pt>
                <c:pt idx="3">
                  <c:v>1.1501092655705902</c:v>
                </c:pt>
                <c:pt idx="4">
                  <c:v>4.6004370622823609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E72-4EAA-84D6-F0576BF44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2224768"/>
        <c:axId val="202226304"/>
      </c:barChart>
      <c:lineChart>
        <c:grouping val="standard"/>
        <c:varyColors val="0"/>
        <c:ser>
          <c:idx val="4"/>
          <c:order val="3"/>
          <c:tx>
            <c:strRef>
              <c:f>'HYK '!$J$45</c:f>
              <c:strCache>
                <c:ptCount val="1"/>
                <c:pt idx="0">
                  <c:v>1%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val>
            <c:numRef>
              <c:f>'HYK '!$J$84:$J$88</c:f>
              <c:numCache>
                <c:formatCode>General</c:formatCode>
                <c:ptCount val="5"/>
                <c:pt idx="0">
                  <c:v>1.55</c:v>
                </c:pt>
                <c:pt idx="1">
                  <c:v>1.55</c:v>
                </c:pt>
                <c:pt idx="2">
                  <c:v>1.55</c:v>
                </c:pt>
                <c:pt idx="3">
                  <c:v>1.55</c:v>
                </c:pt>
                <c:pt idx="4">
                  <c:v>1.55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E72-4EAA-84D6-F0576BF444FC}"/>
            </c:ext>
          </c:extLst>
        </c:ser>
        <c:ser>
          <c:idx val="5"/>
          <c:order val="4"/>
          <c:tx>
            <c:strRef>
              <c:f>'HYK '!$K$45</c:f>
              <c:strCache>
                <c:ptCount val="1"/>
                <c:pt idx="0">
                  <c:v>5%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val>
            <c:numRef>
              <c:f>'HYK '!$K$84:$K$88</c:f>
              <c:numCache>
                <c:formatCode>General</c:formatCode>
                <c:ptCount val="5"/>
                <c:pt idx="0">
                  <c:v>1.4</c:v>
                </c:pt>
                <c:pt idx="1">
                  <c:v>1.4</c:v>
                </c:pt>
                <c:pt idx="2">
                  <c:v>1.4</c:v>
                </c:pt>
                <c:pt idx="3">
                  <c:v>1.4</c:v>
                </c:pt>
                <c:pt idx="4">
                  <c:v>1.4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E72-4EAA-84D6-F0576BF444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2224768"/>
        <c:axId val="202226304"/>
      </c:lineChart>
      <c:catAx>
        <c:axId val="2022247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2226304"/>
        <c:crosses val="autoZero"/>
        <c:auto val="1"/>
        <c:lblAlgn val="ctr"/>
        <c:lblOffset val="100"/>
        <c:noMultiLvlLbl val="0"/>
      </c:catAx>
      <c:valAx>
        <c:axId val="202226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CO"/>
          </a:p>
        </c:txPr>
        <c:crossAx val="2022247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4"/>
        <c:delete val="1"/>
      </c:legendEntry>
      <c:legendEntry>
        <c:idx val="5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C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s-C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48">
  <cs:axisTitle>
    <cs:lnRef idx="0"/>
    <cs:fillRef idx="0"/>
    <cs:effectRef idx="0"/>
    <cs:fontRef idx="minor">
      <a:schemeClr val="lt1">
        <a:lumMod val="7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48">
  <cs:axisTitle>
    <cs:lnRef idx="0"/>
    <cs:fillRef idx="0"/>
    <cs:effectRef idx="0"/>
    <cs:fontRef idx="minor">
      <a:schemeClr val="lt1">
        <a:lumMod val="7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75000"/>
      </a:schemeClr>
    </cs:fontRef>
    <cs:spPr>
      <a:ln w="9525" cap="flat" cmpd="sng" algn="ctr">
        <a:solidFill>
          <a:schemeClr val="lt1">
            <a:lumMod val="50000"/>
          </a:schemeClr>
        </a:solidFill>
      </a:ln>
    </cs:spPr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microsoft.com/office/2007/relationships/hdphoto" Target="../media/hdphoto2.wdp"/><Relationship Id="rId13" Type="http://schemas.openxmlformats.org/officeDocument/2006/relationships/chart" Target="../charts/chart1.xml"/><Relationship Id="rId18" Type="http://schemas.openxmlformats.org/officeDocument/2006/relationships/chart" Target="../charts/chart3.xml"/><Relationship Id="rId3" Type="http://schemas.openxmlformats.org/officeDocument/2006/relationships/image" Target="../media/image3.png"/><Relationship Id="rId7" Type="http://schemas.openxmlformats.org/officeDocument/2006/relationships/image" Target="../media/image6.png"/><Relationship Id="rId12" Type="http://schemas.microsoft.com/office/2007/relationships/hdphoto" Target="../media/hdphoto4.wdp"/><Relationship Id="rId17" Type="http://schemas.openxmlformats.org/officeDocument/2006/relationships/image" Target="../media/image11.png"/><Relationship Id="rId2" Type="http://schemas.openxmlformats.org/officeDocument/2006/relationships/image" Target="../media/image2.png"/><Relationship Id="rId16" Type="http://schemas.openxmlformats.org/officeDocument/2006/relationships/image" Target="../media/image10.png"/><Relationship Id="rId20" Type="http://schemas.openxmlformats.org/officeDocument/2006/relationships/image" Target="../media/image13.png"/><Relationship Id="rId1" Type="http://schemas.openxmlformats.org/officeDocument/2006/relationships/image" Target="../media/image1.png"/><Relationship Id="rId6" Type="http://schemas.openxmlformats.org/officeDocument/2006/relationships/image" Target="../media/image5.png"/><Relationship Id="rId11" Type="http://schemas.openxmlformats.org/officeDocument/2006/relationships/image" Target="../media/image8.png"/><Relationship Id="rId5" Type="http://schemas.openxmlformats.org/officeDocument/2006/relationships/image" Target="../media/image4.png"/><Relationship Id="rId15" Type="http://schemas.openxmlformats.org/officeDocument/2006/relationships/image" Target="../media/image9.png"/><Relationship Id="rId10" Type="http://schemas.microsoft.com/office/2007/relationships/hdphoto" Target="../media/hdphoto3.wdp"/><Relationship Id="rId19" Type="http://schemas.openxmlformats.org/officeDocument/2006/relationships/image" Target="../media/image12.png"/><Relationship Id="rId4" Type="http://schemas.microsoft.com/office/2007/relationships/hdphoto" Target="../media/hdphoto1.wdp"/><Relationship Id="rId9" Type="http://schemas.openxmlformats.org/officeDocument/2006/relationships/image" Target="../media/image7.png"/><Relationship Id="rId14" Type="http://schemas.openxmlformats.org/officeDocument/2006/relationships/chart" Target="../charts/chart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png"/><Relationship Id="rId3" Type="http://schemas.openxmlformats.org/officeDocument/2006/relationships/image" Target="../media/image17.png"/><Relationship Id="rId7" Type="http://schemas.openxmlformats.org/officeDocument/2006/relationships/image" Target="../media/image21.png"/><Relationship Id="rId2" Type="http://schemas.openxmlformats.org/officeDocument/2006/relationships/image" Target="../media/image16.png"/><Relationship Id="rId1" Type="http://schemas.openxmlformats.org/officeDocument/2006/relationships/image" Target="../media/image15.png"/><Relationship Id="rId6" Type="http://schemas.openxmlformats.org/officeDocument/2006/relationships/image" Target="../media/image20.png"/><Relationship Id="rId5" Type="http://schemas.openxmlformats.org/officeDocument/2006/relationships/image" Target="../media/image19.png"/><Relationship Id="rId10" Type="http://schemas.openxmlformats.org/officeDocument/2006/relationships/image" Target="../media/image24.jpeg"/><Relationship Id="rId4" Type="http://schemas.openxmlformats.org/officeDocument/2006/relationships/image" Target="../media/image18.png"/><Relationship Id="rId9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13" Type="http://schemas.openxmlformats.org/officeDocument/2006/relationships/chart" Target="../charts/chart6.xml"/><Relationship Id="rId18" Type="http://schemas.openxmlformats.org/officeDocument/2006/relationships/image" Target="../media/image38.emf"/><Relationship Id="rId3" Type="http://schemas.openxmlformats.org/officeDocument/2006/relationships/image" Target="../media/image27.png"/><Relationship Id="rId7" Type="http://schemas.openxmlformats.org/officeDocument/2006/relationships/image" Target="../media/image30.png"/><Relationship Id="rId12" Type="http://schemas.openxmlformats.org/officeDocument/2006/relationships/image" Target="../media/image34.emf"/><Relationship Id="rId17" Type="http://schemas.openxmlformats.org/officeDocument/2006/relationships/image" Target="../media/image37.emf"/><Relationship Id="rId2" Type="http://schemas.openxmlformats.org/officeDocument/2006/relationships/image" Target="../media/image26.emf"/><Relationship Id="rId16" Type="http://schemas.openxmlformats.org/officeDocument/2006/relationships/image" Target="../media/image36.jpeg"/><Relationship Id="rId1" Type="http://schemas.openxmlformats.org/officeDocument/2006/relationships/image" Target="../media/image25.png"/><Relationship Id="rId6" Type="http://schemas.openxmlformats.org/officeDocument/2006/relationships/image" Target="../media/image29.png"/><Relationship Id="rId11" Type="http://schemas.openxmlformats.org/officeDocument/2006/relationships/image" Target="../media/image33.png"/><Relationship Id="rId5" Type="http://schemas.openxmlformats.org/officeDocument/2006/relationships/image" Target="../media/image28.png"/><Relationship Id="rId15" Type="http://schemas.openxmlformats.org/officeDocument/2006/relationships/image" Target="../media/image35.png"/><Relationship Id="rId10" Type="http://schemas.openxmlformats.org/officeDocument/2006/relationships/chart" Target="../charts/chart5.xml"/><Relationship Id="rId19" Type="http://schemas.openxmlformats.org/officeDocument/2006/relationships/image" Target="../media/image39.png"/><Relationship Id="rId4" Type="http://schemas.openxmlformats.org/officeDocument/2006/relationships/chart" Target="../charts/chart4.xml"/><Relationship Id="rId9" Type="http://schemas.openxmlformats.org/officeDocument/2006/relationships/image" Target="../media/image32.png"/><Relationship Id="rId14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496851</xdr:colOff>
      <xdr:row>14</xdr:row>
      <xdr:rowOff>9753</xdr:rowOff>
    </xdr:from>
    <xdr:ext cx="5289789" cy="2843211"/>
    <xdr:pic>
      <xdr:nvPicPr>
        <xdr:cNvPr id="2" name="2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43101" y="3798586"/>
          <a:ext cx="5289789" cy="2843211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302079</xdr:colOff>
      <xdr:row>14</xdr:row>
      <xdr:rowOff>62591</xdr:rowOff>
    </xdr:from>
    <xdr:ext cx="5208813" cy="2964857"/>
    <xdr:pic>
      <xdr:nvPicPr>
        <xdr:cNvPr id="6" name="6 Imagen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6469"/>
        <a:stretch/>
      </xdr:blipFill>
      <xdr:spPr bwMode="auto">
        <a:xfrm>
          <a:off x="6751865" y="892627"/>
          <a:ext cx="5208813" cy="2964857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</xdr:col>
      <xdr:colOff>334736</xdr:colOff>
      <xdr:row>155</xdr:row>
      <xdr:rowOff>4080</xdr:rowOff>
    </xdr:from>
    <xdr:ext cx="2754086" cy="1819277"/>
    <xdr:pic>
      <xdr:nvPicPr>
        <xdr:cNvPr id="7" name="7 Imagen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b="4800"/>
        <a:stretch/>
      </xdr:blipFill>
      <xdr:spPr bwMode="auto">
        <a:xfrm>
          <a:off x="2112736" y="35945080"/>
          <a:ext cx="2754086" cy="1819277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825047</xdr:colOff>
      <xdr:row>168</xdr:row>
      <xdr:rowOff>69850</xdr:rowOff>
    </xdr:from>
    <xdr:ext cx="3783346" cy="1028699"/>
    <xdr:pic>
      <xdr:nvPicPr>
        <xdr:cNvPr id="8" name="9 Imagen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b="9569"/>
        <a:stretch/>
      </xdr:blipFill>
      <xdr:spPr bwMode="auto">
        <a:xfrm>
          <a:off x="7092497" y="39719250"/>
          <a:ext cx="3783346" cy="1028699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12</xdr:col>
      <xdr:colOff>525236</xdr:colOff>
      <xdr:row>157</xdr:row>
      <xdr:rowOff>176892</xdr:rowOff>
    </xdr:from>
    <xdr:ext cx="3747408" cy="651486"/>
    <xdr:pic>
      <xdr:nvPicPr>
        <xdr:cNvPr id="10" name="10 Imagen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85022" y="27500035"/>
          <a:ext cx="3747408" cy="651486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9</xdr:col>
      <xdr:colOff>364560</xdr:colOff>
      <xdr:row>139</xdr:row>
      <xdr:rowOff>121551</xdr:rowOff>
    </xdr:from>
    <xdr:ext cx="766082" cy="991400"/>
    <xdr:pic>
      <xdr:nvPicPr>
        <xdr:cNvPr id="11" name="6 Imagen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colorTemperature colorTemp="5900"/>
                  </a14:imgEffect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64525" t="41200" r="31571" b="50000"/>
        <a:stretch/>
      </xdr:blipFill>
      <xdr:spPr bwMode="auto">
        <a:xfrm>
          <a:off x="8746560" y="32566082"/>
          <a:ext cx="766082" cy="991400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29</xdr:col>
      <xdr:colOff>219074</xdr:colOff>
      <xdr:row>194</xdr:row>
      <xdr:rowOff>130627</xdr:rowOff>
    </xdr:from>
    <xdr:to>
      <xdr:col>34</xdr:col>
      <xdr:colOff>250068</xdr:colOff>
      <xdr:row>199</xdr:row>
      <xdr:rowOff>85722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brigh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26849" y="38992627"/>
          <a:ext cx="3840995" cy="119334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29</xdr:col>
      <xdr:colOff>352425</xdr:colOff>
      <xdr:row>188</xdr:row>
      <xdr:rowOff>352425</xdr:rowOff>
    </xdr:from>
    <xdr:to>
      <xdr:col>34</xdr:col>
      <xdr:colOff>180975</xdr:colOff>
      <xdr:row>191</xdr:row>
      <xdr:rowOff>28575</xdr:rowOff>
    </xdr:to>
    <mc:AlternateContent xmlns:mc="http://schemas.openxmlformats.org/markup-compatibility/2006" xmlns:a14="http://schemas.microsoft.com/office/drawing/2010/main">
      <mc:Choice Requires="a14">
        <xdr:sp macro="" textlink="">
          <xdr:nvSpPr>
            <xdr:cNvPr id="14" name="Rectángulo 13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:cNvPr>
            <xdr:cNvSpPr/>
          </xdr:nvSpPr>
          <xdr:spPr>
            <a:xfrm>
              <a:off x="24460200" y="37423725"/>
              <a:ext cx="3638550" cy="723900"/>
            </a:xfrm>
            <a:prstGeom prst="rect">
              <a:avLst/>
            </a:prstGeom>
            <a:solidFill>
              <a:schemeClr val="bg1"/>
            </a:solidFill>
            <a:ln w="57150">
              <a:solidFill>
                <a:schemeClr val="tx1"/>
              </a:solidFill>
            </a:ln>
          </xdr:spPr>
          <xdr:txBody>
            <a:bodyPr wrap="square">
              <a:noAutofit/>
            </a:bodyPr>
            <a:lstStyle>
              <a:defPPr>
                <a:defRPr lang="es-CO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14:m>
                <m:oMathPara xmlns:m="http://schemas.openxmlformats.org/officeDocument/2006/math">
                  <m:oMathParaPr>
                    <m:jc m:val="centerGroup"/>
                  </m:oMathParaPr>
                  <m:oMath xmlns:m="http://schemas.openxmlformats.org/officeDocument/2006/math">
                    <m:r>
                      <a:rPr lang="es-CO" sz="800" i="1">
                        <a:latin typeface="Cambria Math" panose="02040503050406030204" pitchFamily="18" charset="0"/>
                      </a:rPr>
                      <m:t>𝐻</m:t>
                    </m:r>
                    <m:r>
                      <a:rPr lang="es-CO" sz="800" i="0">
                        <a:latin typeface="Cambria Math" panose="02040503050406030204" pitchFamily="18" charset="0"/>
                      </a:rPr>
                      <m:t>"=</m:t>
                    </m:r>
                    <m:f>
                      <m:fPr>
                        <m:ctrlPr>
                          <a:rPr lang="es-CO" sz="800" i="1">
                            <a:latin typeface="Cambria Math" panose="02040503050406030204" pitchFamily="18" charset="0"/>
                          </a:rPr>
                        </m:ctrlPr>
                      </m:fPr>
                      <m:num>
                        <m:f>
                          <m:fPr>
                            <m:ctrlPr>
                              <a:rPr lang="es-CO" sz="80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r>
                              <a:rPr lang="es-CO" sz="800" i="0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12</m:t>
                            </m:r>
                          </m:num>
                          <m:den>
                            <m:r>
                              <a:rPr lang="es-CO" sz="800" b="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45</m:t>
                            </m:r>
                            <m:d>
                              <m:dPr>
                                <m:ctrlPr>
                                  <a:rPr lang="es-CO" sz="8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dPr>
                              <m:e>
                                <m:r>
                                  <a:rPr lang="es-CO" sz="800" b="0" i="0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45</m:t>
                                </m:r>
                                <m:r>
                                  <a:rPr lang="es-CO" sz="800" i="0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+1</m:t>
                                </m:r>
                              </m:e>
                            </m:d>
                          </m:den>
                        </m:f>
                        <m:r>
                          <a:rPr lang="es-CO" sz="800" b="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[</m:t>
                        </m:r>
                        <m:f>
                          <m:fPr>
                            <m:ctrlPr>
                              <a:rPr lang="es-CO" sz="80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sSup>
                              <m:sSupPr>
                                <m:ctrlPr>
                                  <a:rPr lang="es-CO" sz="8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s-CO" sz="8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330</m:t>
                                </m:r>
                              </m:e>
                              <m:sup>
                                <m:r>
                                  <a:rPr lang="es-CO" sz="8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</m:num>
                          <m:den>
                            <m:r>
                              <a:rPr lang="es-CO" sz="800" b="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15</m:t>
                            </m:r>
                          </m:den>
                        </m:f>
                        <m:r>
                          <a:rPr lang="es-CO" sz="80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f>
                          <m:fPr>
                            <m:ctrlPr>
                              <a:rPr lang="es-CO" sz="80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sSup>
                              <m:sSupPr>
                                <m:ctrlPr>
                                  <a:rPr lang="es-CO" sz="8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s-CO" sz="8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397,5</m:t>
                                </m:r>
                              </m:e>
                              <m:sup>
                                <m:r>
                                  <a:rPr lang="es-CO" sz="8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</m:num>
                          <m:den>
                            <m:r>
                              <a:rPr lang="es-CO" sz="800" b="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15</m:t>
                            </m:r>
                          </m:den>
                        </m:f>
                        <m:r>
                          <a:rPr lang="es-CO" sz="800" i="1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+</m:t>
                        </m:r>
                        <m:f>
                          <m:fPr>
                            <m:ctrlPr>
                              <a:rPr lang="es-CO" sz="80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fPr>
                          <m:num>
                            <m:sSup>
                              <m:sSupPr>
                                <m:ctrlPr>
                                  <a:rPr lang="es-CO" sz="8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s-CO" sz="8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307,5</m:t>
                                </m:r>
                              </m:e>
                              <m:sup>
                                <m:r>
                                  <a:rPr lang="es-CO" sz="8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2</m:t>
                                </m:r>
                              </m:sup>
                            </m:sSup>
                          </m:num>
                          <m:den>
                            <m:r>
                              <a:rPr lang="es-CO" sz="800" b="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15</m:t>
                            </m:r>
                          </m:den>
                        </m:f>
                        <m:r>
                          <m:rPr>
                            <m:nor/>
                          </m:rPr>
                          <a:rPr lang="es-CO" sz="800" kern="1200">
                            <a:solidFill>
                              <a:schemeClr val="tx1"/>
                            </a:solidFill>
                            <a:effectLst/>
                            <a:latin typeface="+mn-lt"/>
                            <a:ea typeface="+mn-ea"/>
                            <a:cs typeface="+mn-cs"/>
                          </a:rPr>
                          <m:t>]</m:t>
                        </m:r>
                        <m:r>
                          <a:rPr lang="es-CO" sz="800" i="0" kern="1200">
                            <a:solidFill>
                              <a:schemeClr val="tx1"/>
                            </a:solidFill>
                            <a:effectLst/>
                            <a:latin typeface="Cambria Math" panose="02040503050406030204" pitchFamily="18" charset="0"/>
                            <a:ea typeface="+mn-ea"/>
                            <a:cs typeface="+mn-cs"/>
                          </a:rPr>
                          <m:t>−3</m:t>
                        </m:r>
                        <m:d>
                          <m:dPr>
                            <m:ctrlPr>
                              <a:rPr lang="es-CO" sz="80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</m:ctrlPr>
                          </m:dPr>
                          <m:e>
                            <m:r>
                              <a:rPr lang="es-CO" sz="800" b="0" i="0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45</m:t>
                            </m:r>
                            <m:r>
                              <a:rPr lang="es-CO" sz="800" i="0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+1</m:t>
                            </m:r>
                          </m:e>
                        </m:d>
                      </m:num>
                      <m:den>
                        <m:r>
                          <a:rPr lang="es-CO" sz="800" i="0">
                            <a:latin typeface="Cambria Math" panose="02040503050406030204" pitchFamily="18" charset="0"/>
                          </a:rPr>
                          <m:t>1−</m:t>
                        </m:r>
                        <m:f>
                          <m:fPr>
                            <m:ctrlPr>
                              <a:rPr lang="es-CO" sz="800" i="1">
                                <a:latin typeface="Cambria Math" panose="02040503050406030204" pitchFamily="18" charset="0"/>
                              </a:rPr>
                            </m:ctrlPr>
                          </m:fPr>
                          <m:num>
                            <m:sSup>
                              <m:sSupPr>
                                <m:ctrlPr>
                                  <a:rPr lang="es-CO" sz="8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s-CO" sz="8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(29</m:t>
                                </m:r>
                              </m:e>
                              <m:sup>
                                <m:r>
                                  <a:rPr lang="es-CO" sz="800" i="0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3</m:t>
                                </m:r>
                              </m:sup>
                            </m:sSup>
                            <m:r>
                              <a:rPr lang="es-CO" sz="800" i="0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−</m:t>
                            </m:r>
                            <m:r>
                              <a:rPr lang="es-CO" sz="800" b="0" i="0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2</m:t>
                            </m:r>
                            <m:r>
                              <a:rPr lang="es-CO" sz="800" b="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9)+(</m:t>
                            </m:r>
                            <m:sSup>
                              <m:sSupPr>
                                <m:ctrlPr>
                                  <a:rPr lang="es-CO" sz="80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</m:ctrlPr>
                              </m:sSupPr>
                              <m:e>
                                <m:r>
                                  <a:rPr lang="es-CO" sz="800" b="0" i="1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16</m:t>
                                </m:r>
                              </m:e>
                              <m:sup>
                                <m:r>
                                  <a:rPr lang="es-CO" sz="800" i="0" kern="1200">
                                    <a:solidFill>
                                      <a:schemeClr val="tx1"/>
                                    </a:solidFill>
                                    <a:effectLst/>
                                    <a:latin typeface="Cambria Math" panose="02040503050406030204" pitchFamily="18" charset="0"/>
                                    <a:ea typeface="+mn-ea"/>
                                    <a:cs typeface="+mn-cs"/>
                                  </a:rPr>
                                  <m:t>3</m:t>
                                </m:r>
                              </m:sup>
                            </m:sSup>
                            <m:r>
                              <a:rPr lang="es-CO" sz="800" i="0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−</m:t>
                            </m:r>
                            <m:r>
                              <a:rPr lang="es-CO" sz="800" b="0" i="0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16</m:t>
                            </m:r>
                            <m:r>
                              <a:rPr lang="es-CO" sz="800" b="0" i="1" kern="1200">
                                <a:solidFill>
                                  <a:schemeClr val="tx1"/>
                                </a:solidFill>
                                <a:effectLst/>
                                <a:latin typeface="Cambria Math" panose="02040503050406030204" pitchFamily="18" charset="0"/>
                                <a:ea typeface="+mn-ea"/>
                                <a:cs typeface="+mn-cs"/>
                              </a:rPr>
                              <m:t>)</m:t>
                            </m:r>
                          </m:num>
                          <m:den>
                            <m:sSup>
                              <m:sSupPr>
                                <m:ctrlPr>
                                  <a:rPr lang="es-CO" sz="800" i="1">
                                    <a:latin typeface="Cambria Math" panose="02040503050406030204" pitchFamily="18" charset="0"/>
                                  </a:rPr>
                                </m:ctrlPr>
                              </m:sSupPr>
                              <m:e>
                                <m:r>
                                  <a:rPr lang="es-CO" sz="800" b="0" i="1">
                                    <a:latin typeface="Cambria Math" panose="02040503050406030204" pitchFamily="18" charset="0"/>
                                  </a:rPr>
                                  <m:t>45</m:t>
                                </m:r>
                              </m:e>
                              <m:sup>
                                <m:r>
                                  <a:rPr lang="es-CO" sz="800" i="0">
                                    <a:latin typeface="Cambria Math" panose="02040503050406030204" pitchFamily="18" charset="0"/>
                                  </a:rPr>
                                  <m:t>3</m:t>
                                </m:r>
                              </m:sup>
                            </m:sSup>
                            <m:r>
                              <a:rPr lang="es-CO" sz="800" i="0">
                                <a:latin typeface="Cambria Math" panose="02040503050406030204" pitchFamily="18" charset="0"/>
                              </a:rPr>
                              <m:t>−</m:t>
                            </m:r>
                            <m:r>
                              <a:rPr lang="es-CO" sz="800" b="0" i="1">
                                <a:latin typeface="Cambria Math" panose="02040503050406030204" pitchFamily="18" charset="0"/>
                              </a:rPr>
                              <m:t>45</m:t>
                            </m:r>
                          </m:den>
                        </m:f>
                      </m:den>
                    </m:f>
                  </m:oMath>
                </m:oMathPara>
              </a14:m>
              <a:endParaRPr lang="es-CO" sz="800"/>
            </a:p>
          </xdr:txBody>
        </xdr:sp>
      </mc:Choice>
      <mc:Fallback xmlns="">
        <xdr:sp macro="" textlink="">
          <xdr:nvSpPr>
            <xdr:cNvPr id="14" name="Rectángulo 13"/>
            <xdr:cNvSpPr/>
          </xdr:nvSpPr>
          <xdr:spPr>
            <a:xfrm>
              <a:off x="24460200" y="37423725"/>
              <a:ext cx="3638550" cy="723900"/>
            </a:xfrm>
            <a:prstGeom prst="rect">
              <a:avLst/>
            </a:prstGeom>
            <a:solidFill>
              <a:schemeClr val="bg1"/>
            </a:solidFill>
            <a:ln w="57150">
              <a:solidFill>
                <a:schemeClr val="tx1"/>
              </a:solidFill>
            </a:ln>
          </xdr:spPr>
          <xdr:txBody>
            <a:bodyPr wrap="square">
              <a:noAutofit/>
            </a:bodyPr>
            <a:lstStyle>
              <a:defPPr>
                <a:defRPr lang="es-CO"/>
              </a:defPPr>
              <a:lvl1pPr marL="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1pPr>
              <a:lvl2pPr marL="457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2pPr>
              <a:lvl3pPr marL="914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3pPr>
              <a:lvl4pPr marL="1371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4pPr>
              <a:lvl5pPr marL="18288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5pPr>
              <a:lvl6pPr marL="22860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6pPr>
              <a:lvl7pPr marL="27432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7pPr>
              <a:lvl8pPr marL="32004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8pPr>
              <a:lvl9pPr marL="3657600" algn="l" defTabSz="914400" rtl="0" eaLnBrk="1" latinLnBrk="0" hangingPunct="1">
                <a:defRPr sz="1800" kern="1200">
                  <a:solidFill>
                    <a:schemeClr val="tx1"/>
                  </a:solidFill>
                  <a:latin typeface="+mn-lt"/>
                  <a:ea typeface="+mn-ea"/>
                  <a:cs typeface="+mn-cs"/>
                </a:defRPr>
              </a:lvl9pPr>
            </a:lstStyle>
            <a:p>
              <a:pPr/>
              <a:r>
                <a:rPr lang="es-CO" sz="800" i="0">
                  <a:latin typeface="Cambria Math" panose="02040503050406030204" pitchFamily="18" charset="0"/>
                </a:rPr>
                <a:t>𝐻"=(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12/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45(45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+1) 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[〖330〗^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2/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15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+〖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397,5〗^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2/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15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+〖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307,5〗^2/15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 "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+mn-lt"/>
                  <a:ea typeface="+mn-ea"/>
                  <a:cs typeface="+mn-cs"/>
                </a:rPr>
                <a:t>]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" −3(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45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+1))/(</a:t>
              </a:r>
              <a:r>
                <a:rPr lang="es-CO" sz="800" i="0">
                  <a:latin typeface="Cambria Math" panose="02040503050406030204" pitchFamily="18" charset="0"/>
                </a:rPr>
                <a:t>1−(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〖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(29〗^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3−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29)+(〖16〗^</a:t>
              </a:r>
              <a:r>
                <a:rPr lang="es-CO" sz="80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3−</a:t>
              </a:r>
              <a:r>
                <a:rPr lang="es-CO" sz="800" b="0" i="0" kern="1200">
                  <a:solidFill>
                    <a:schemeClr val="tx1"/>
                  </a:solidFill>
                  <a:effectLst/>
                  <a:latin typeface="Cambria Math" panose="02040503050406030204" pitchFamily="18" charset="0"/>
                  <a:ea typeface="+mn-ea"/>
                  <a:cs typeface="+mn-cs"/>
                </a:rPr>
                <a:t>16))/(〖</a:t>
              </a:r>
              <a:r>
                <a:rPr lang="es-CO" sz="800" b="0" i="0">
                  <a:latin typeface="Cambria Math" panose="02040503050406030204" pitchFamily="18" charset="0"/>
                </a:rPr>
                <a:t>45〗^</a:t>
              </a:r>
              <a:r>
                <a:rPr lang="es-CO" sz="800" i="0">
                  <a:latin typeface="Cambria Math" panose="02040503050406030204" pitchFamily="18" charset="0"/>
                </a:rPr>
                <a:t>3−</a:t>
              </a:r>
              <a:r>
                <a:rPr lang="es-CO" sz="800" b="0" i="0">
                  <a:latin typeface="Cambria Math" panose="02040503050406030204" pitchFamily="18" charset="0"/>
                </a:rPr>
                <a:t>45))</a:t>
              </a:r>
              <a:endParaRPr lang="es-CO" sz="800"/>
            </a:p>
          </xdr:txBody>
        </xdr:sp>
      </mc:Fallback>
    </mc:AlternateContent>
    <xdr:clientData/>
  </xdr:twoCellAnchor>
  <xdr:oneCellAnchor>
    <xdr:from>
      <xdr:col>30</xdr:col>
      <xdr:colOff>397329</xdr:colOff>
      <xdr:row>203</xdr:row>
      <xdr:rowOff>119743</xdr:rowOff>
    </xdr:from>
    <xdr:ext cx="2407445" cy="1042995"/>
    <xdr:pic>
      <xdr:nvPicPr>
        <xdr:cNvPr id="15" name="33 Imagen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rightnessContrast bright="-20000" contrast="-2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67104" y="41210593"/>
          <a:ext cx="2407445" cy="104299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22</xdr:col>
      <xdr:colOff>97971</xdr:colOff>
      <xdr:row>159</xdr:row>
      <xdr:rowOff>142875</xdr:rowOff>
    </xdr:from>
    <xdr:to>
      <xdr:col>32</xdr:col>
      <xdr:colOff>47625</xdr:colOff>
      <xdr:row>175</xdr:row>
      <xdr:rowOff>73479</xdr:rowOff>
    </xdr:to>
    <xdr:graphicFrame macro="">
      <xdr:nvGraphicFramePr>
        <xdr:cNvPr id="16" name="11 Gráfico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27</xdr:col>
      <xdr:colOff>703793</xdr:colOff>
      <xdr:row>82</xdr:row>
      <xdr:rowOff>158749</xdr:rowOff>
    </xdr:from>
    <xdr:to>
      <xdr:col>36</xdr:col>
      <xdr:colOff>428626</xdr:colOff>
      <xdr:row>95</xdr:row>
      <xdr:rowOff>26458</xdr:rowOff>
    </xdr:to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</xdr:col>
      <xdr:colOff>66675</xdr:colOff>
      <xdr:row>243</xdr:row>
      <xdr:rowOff>152400</xdr:rowOff>
    </xdr:from>
    <xdr:to>
      <xdr:col>3</xdr:col>
      <xdr:colOff>718426</xdr:colOff>
      <xdr:row>250</xdr:row>
      <xdr:rowOff>37204</xdr:rowOff>
    </xdr:to>
    <xdr:pic>
      <xdr:nvPicPr>
        <xdr:cNvPr id="18" name="16 Imagen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8675" y="31470600"/>
          <a:ext cx="2090026" cy="1228887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562398</xdr:colOff>
      <xdr:row>243</xdr:row>
      <xdr:rowOff>27710</xdr:rowOff>
    </xdr:from>
    <xdr:to>
      <xdr:col>12</xdr:col>
      <xdr:colOff>37419</xdr:colOff>
      <xdr:row>249</xdr:row>
      <xdr:rowOff>109683</xdr:rowOff>
    </xdr:to>
    <xdr:pic>
      <xdr:nvPicPr>
        <xdr:cNvPr id="19" name="17 Imagen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5443" y="55486301"/>
          <a:ext cx="7106567" cy="1259609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686762</xdr:colOff>
      <xdr:row>251</xdr:row>
      <xdr:rowOff>191547</xdr:rowOff>
    </xdr:from>
    <xdr:to>
      <xdr:col>7</xdr:col>
      <xdr:colOff>751417</xdr:colOff>
      <xdr:row>255</xdr:row>
      <xdr:rowOff>102133</xdr:rowOff>
    </xdr:to>
    <xdr:pic>
      <xdr:nvPicPr>
        <xdr:cNvPr id="20" name="18 Imagen">
          <a:extLst>
            <a:ext uri="{FF2B5EF4-FFF2-40B4-BE49-F238E27FC236}">
              <a16:creationId xmlns:a16="http://schemas.microsoft.com/office/drawing/2014/main" id="{00000000-0008-0000-0000-00001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72717" y="57231865"/>
          <a:ext cx="1842655" cy="863086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21</xdr:col>
      <xdr:colOff>1081012</xdr:colOff>
      <xdr:row>243</xdr:row>
      <xdr:rowOff>47625</xdr:rowOff>
    </xdr:from>
    <xdr:to>
      <xdr:col>31</xdr:col>
      <xdr:colOff>571500</xdr:colOff>
      <xdr:row>261</xdr:row>
      <xdr:rowOff>47625</xdr:rowOff>
    </xdr:to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oneCellAnchor>
    <xdr:from>
      <xdr:col>14</xdr:col>
      <xdr:colOff>354730</xdr:colOff>
      <xdr:row>100</xdr:row>
      <xdr:rowOff>200707</xdr:rowOff>
    </xdr:from>
    <xdr:ext cx="1514475" cy="505765"/>
    <xdr:pic>
      <xdr:nvPicPr>
        <xdr:cNvPr id="22" name="3 Imagen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02"/>
        <a:stretch/>
      </xdr:blipFill>
      <xdr:spPr bwMode="auto">
        <a:xfrm>
          <a:off x="12885397" y="23695707"/>
          <a:ext cx="1514475" cy="50576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6</xdr:col>
      <xdr:colOff>391584</xdr:colOff>
      <xdr:row>101</xdr:row>
      <xdr:rowOff>7938</xdr:rowOff>
    </xdr:from>
    <xdr:ext cx="1514475" cy="505765"/>
    <xdr:pic>
      <xdr:nvPicPr>
        <xdr:cNvPr id="24" name="3 Imagen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02"/>
        <a:stretch/>
      </xdr:blipFill>
      <xdr:spPr bwMode="auto">
        <a:xfrm>
          <a:off x="6032501" y="23756938"/>
          <a:ext cx="1514475" cy="50576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21</xdr:col>
      <xdr:colOff>165366</xdr:colOff>
      <xdr:row>100</xdr:row>
      <xdr:rowOff>226218</xdr:rowOff>
    </xdr:from>
    <xdr:ext cx="1514475" cy="505765"/>
    <xdr:pic>
      <xdr:nvPicPr>
        <xdr:cNvPr id="25" name="3 Imagen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8202"/>
        <a:stretch/>
      </xdr:blipFill>
      <xdr:spPr bwMode="auto">
        <a:xfrm>
          <a:off x="19257699" y="23721218"/>
          <a:ext cx="1514475" cy="505765"/>
        </a:xfrm>
        <a:prstGeom prst="rect">
          <a:avLst/>
        </a:prstGeom>
        <a:ln w="88900" cap="sq" cmpd="thickThin">
          <a:solidFill>
            <a:srgbClr val="000000"/>
          </a:solidFill>
          <a:prstDash val="solid"/>
          <a:miter lim="800000"/>
        </a:ln>
        <a:effectLst>
          <a:innerShdw blurRad="76200">
            <a:srgbClr val="000000"/>
          </a:inn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442714</xdr:colOff>
      <xdr:row>1</xdr:row>
      <xdr:rowOff>142874</xdr:rowOff>
    </xdr:from>
    <xdr:to>
      <xdr:col>2</xdr:col>
      <xdr:colOff>1059218</xdr:colOff>
      <xdr:row>3</xdr:row>
      <xdr:rowOff>349249</xdr:rowOff>
    </xdr:to>
    <xdr:pic>
      <xdr:nvPicPr>
        <xdr:cNvPr id="23" name="22 Imagen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442714" y="349249"/>
          <a:ext cx="2283379" cy="10636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609601</xdr:colOff>
      <xdr:row>0</xdr:row>
      <xdr:rowOff>27396</xdr:rowOff>
    </xdr:from>
    <xdr:to>
      <xdr:col>2</xdr:col>
      <xdr:colOff>401733</xdr:colOff>
      <xdr:row>2</xdr:row>
      <xdr:rowOff>208340</xdr:rowOff>
    </xdr:to>
    <xdr:pic>
      <xdr:nvPicPr>
        <xdr:cNvPr id="4" name="3 Imagen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1" y="27396"/>
          <a:ext cx="1697132" cy="7905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285750</xdr:colOff>
      <xdr:row>0</xdr:row>
      <xdr:rowOff>133350</xdr:rowOff>
    </xdr:from>
    <xdr:to>
      <xdr:col>4</xdr:col>
      <xdr:colOff>342900</xdr:colOff>
      <xdr:row>2</xdr:row>
      <xdr:rowOff>443358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7750" y="133350"/>
          <a:ext cx="2781300" cy="130060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371475</xdr:colOff>
      <xdr:row>1</xdr:row>
      <xdr:rowOff>47625</xdr:rowOff>
    </xdr:from>
    <xdr:to>
      <xdr:col>7</xdr:col>
      <xdr:colOff>627951</xdr:colOff>
      <xdr:row>20</xdr:row>
      <xdr:rowOff>47173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1475" y="238125"/>
          <a:ext cx="5590476" cy="3619048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733425</xdr:colOff>
      <xdr:row>1</xdr:row>
      <xdr:rowOff>38100</xdr:rowOff>
    </xdr:from>
    <xdr:to>
      <xdr:col>15</xdr:col>
      <xdr:colOff>28575</xdr:colOff>
      <xdr:row>20</xdr:row>
      <xdr:rowOff>66675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67425" y="228600"/>
          <a:ext cx="5391150" cy="364807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381000</xdr:colOff>
      <xdr:row>20</xdr:row>
      <xdr:rowOff>142875</xdr:rowOff>
    </xdr:from>
    <xdr:to>
      <xdr:col>7</xdr:col>
      <xdr:colOff>618429</xdr:colOff>
      <xdr:row>39</xdr:row>
      <xdr:rowOff>171450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81000" y="3952875"/>
          <a:ext cx="5571429" cy="364807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742950</xdr:colOff>
      <xdr:row>21</xdr:row>
      <xdr:rowOff>0</xdr:rowOff>
    </xdr:from>
    <xdr:to>
      <xdr:col>15</xdr:col>
      <xdr:colOff>19050</xdr:colOff>
      <xdr:row>40</xdr:row>
      <xdr:rowOff>28575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76950" y="4000500"/>
          <a:ext cx="5372100" cy="364807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409575</xdr:colOff>
      <xdr:row>40</xdr:row>
      <xdr:rowOff>85725</xdr:rowOff>
    </xdr:from>
    <xdr:to>
      <xdr:col>7</xdr:col>
      <xdr:colOff>638175</xdr:colOff>
      <xdr:row>61</xdr:row>
      <xdr:rowOff>151892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409575" y="7705725"/>
          <a:ext cx="5562600" cy="4066667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752475</xdr:colOff>
      <xdr:row>40</xdr:row>
      <xdr:rowOff>152400</xdr:rowOff>
    </xdr:from>
    <xdr:to>
      <xdr:col>15</xdr:col>
      <xdr:colOff>0</xdr:colOff>
      <xdr:row>61</xdr:row>
      <xdr:rowOff>133350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86475" y="7772400"/>
          <a:ext cx="5343525" cy="398145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409575</xdr:colOff>
      <xdr:row>62</xdr:row>
      <xdr:rowOff>76200</xdr:rowOff>
    </xdr:from>
    <xdr:to>
      <xdr:col>7</xdr:col>
      <xdr:colOff>599384</xdr:colOff>
      <xdr:row>80</xdr:row>
      <xdr:rowOff>114300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09575" y="11887200"/>
          <a:ext cx="5523809" cy="3467100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7</xdr:col>
      <xdr:colOff>742951</xdr:colOff>
      <xdr:row>62</xdr:row>
      <xdr:rowOff>66675</xdr:rowOff>
    </xdr:from>
    <xdr:to>
      <xdr:col>15</xdr:col>
      <xdr:colOff>1</xdr:colOff>
      <xdr:row>81</xdr:row>
      <xdr:rowOff>0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76951" y="11877675"/>
          <a:ext cx="5353050" cy="355282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0</xdr:col>
      <xdr:colOff>371475</xdr:colOff>
      <xdr:row>81</xdr:row>
      <xdr:rowOff>47626</xdr:rowOff>
    </xdr:from>
    <xdr:to>
      <xdr:col>7</xdr:col>
      <xdr:colOff>628650</xdr:colOff>
      <xdr:row>103</xdr:row>
      <xdr:rowOff>93490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3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71475" y="15478126"/>
          <a:ext cx="5591175" cy="4236864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</xdr:spPr>
    </xdr:pic>
    <xdr:clientData/>
  </xdr:twoCellAnchor>
  <xdr:twoCellAnchor editAs="oneCell">
    <xdr:from>
      <xdr:col>15</xdr:col>
      <xdr:colOff>276225</xdr:colOff>
      <xdr:row>0</xdr:row>
      <xdr:rowOff>152400</xdr:rowOff>
    </xdr:from>
    <xdr:to>
      <xdr:col>25</xdr:col>
      <xdr:colOff>104775</xdr:colOff>
      <xdr:row>20</xdr:row>
      <xdr:rowOff>66675</xdr:rowOff>
    </xdr:to>
    <xdr:pic>
      <xdr:nvPicPr>
        <xdr:cNvPr id="11" name="Imagen 10" descr="https://lh3.googleusercontent.com/-TL71oufxXQY/TX5wmdO3kdI/AAAAAAAAAC0/bXKTiPe87o8/s1600/Dibujo1.bmp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06225" y="152400"/>
          <a:ext cx="7448550" cy="3724275"/>
        </a:xfrm>
        <a:prstGeom prst="rect">
          <a:avLst/>
        </a:prstGeom>
        <a:ln w="38100" cap="sq">
          <a:solidFill>
            <a:srgbClr val="000000"/>
          </a:solidFill>
          <a:prstDash val="solid"/>
          <a:miter lim="800000"/>
        </a:ln>
        <a:effectLst>
          <a:outerShdw blurRad="50800" dist="38100" dir="2700000" algn="tl" rotWithShape="0">
            <a:srgbClr val="000000">
              <a:alpha val="43000"/>
            </a:srgbClr>
          </a:outerShdw>
        </a:effectLst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725143</xdr:colOff>
      <xdr:row>34</xdr:row>
      <xdr:rowOff>159855</xdr:rowOff>
    </xdr:from>
    <xdr:to>
      <xdr:col>11</xdr:col>
      <xdr:colOff>184704</xdr:colOff>
      <xdr:row>41</xdr:row>
      <xdr:rowOff>150331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4253" t="55997" r="20634" b="25902"/>
        <a:stretch/>
      </xdr:blipFill>
      <xdr:spPr>
        <a:xfrm>
          <a:off x="5478118" y="6065355"/>
          <a:ext cx="3269561" cy="1323976"/>
        </a:xfrm>
        <a:prstGeom prst="rect">
          <a:avLst/>
        </a:prstGeom>
      </xdr:spPr>
    </xdr:pic>
    <xdr:clientData/>
  </xdr:twoCellAnchor>
  <xdr:twoCellAnchor editAs="oneCell">
    <xdr:from>
      <xdr:col>0</xdr:col>
      <xdr:colOff>219075</xdr:colOff>
      <xdr:row>78</xdr:row>
      <xdr:rowOff>9525</xdr:rowOff>
    </xdr:from>
    <xdr:to>
      <xdr:col>0</xdr:col>
      <xdr:colOff>762000</xdr:colOff>
      <xdr:row>80</xdr:row>
      <xdr:rowOff>103584</xdr:rowOff>
    </xdr:to>
    <xdr:pic>
      <xdr:nvPicPr>
        <xdr:cNvPr id="3" name="Imagen 7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9356" t="3457" r="36271" b="55473"/>
        <a:stretch/>
      </xdr:blipFill>
      <xdr:spPr bwMode="auto">
        <a:xfrm>
          <a:off x="219075" y="14801850"/>
          <a:ext cx="542925" cy="4750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221017</xdr:colOff>
      <xdr:row>70</xdr:row>
      <xdr:rowOff>118123</xdr:rowOff>
    </xdr:from>
    <xdr:to>
      <xdr:col>12</xdr:col>
      <xdr:colOff>440092</xdr:colOff>
      <xdr:row>77</xdr:row>
      <xdr:rowOff>14940</xdr:rowOff>
    </xdr:to>
    <xdr:pic>
      <xdr:nvPicPr>
        <xdr:cNvPr id="4" name="Imagen 8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54106" t="70842" r="32496" b="11708"/>
        <a:stretch/>
      </xdr:blipFill>
      <xdr:spPr>
        <a:xfrm>
          <a:off x="8021992" y="13148323"/>
          <a:ext cx="1743075" cy="1277942"/>
        </a:xfrm>
        <a:prstGeom prst="rect">
          <a:avLst/>
        </a:prstGeom>
      </xdr:spPr>
    </xdr:pic>
    <xdr:clientData/>
  </xdr:twoCellAnchor>
  <xdr:twoCellAnchor>
    <xdr:from>
      <xdr:col>5</xdr:col>
      <xdr:colOff>338666</xdr:colOff>
      <xdr:row>174</xdr:row>
      <xdr:rowOff>10583</xdr:rowOff>
    </xdr:from>
    <xdr:to>
      <xdr:col>14</xdr:col>
      <xdr:colOff>805650</xdr:colOff>
      <xdr:row>183</xdr:row>
      <xdr:rowOff>172204</xdr:rowOff>
    </xdr:to>
    <xdr:graphicFrame macro="">
      <xdr:nvGraphicFramePr>
        <xdr:cNvPr id="5" name="Gráfico 10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6</xdr:col>
      <xdr:colOff>304407</xdr:colOff>
      <xdr:row>135</xdr:row>
      <xdr:rowOff>107913</xdr:rowOff>
    </xdr:from>
    <xdr:to>
      <xdr:col>8</xdr:col>
      <xdr:colOff>161638</xdr:colOff>
      <xdr:row>138</xdr:row>
      <xdr:rowOff>76675</xdr:rowOff>
    </xdr:to>
    <xdr:pic>
      <xdr:nvPicPr>
        <xdr:cNvPr id="6" name="11 Imagen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49914" t="48580" r="36525" b="42022"/>
        <a:stretch/>
      </xdr:blipFill>
      <xdr:spPr>
        <a:xfrm>
          <a:off x="5057382" y="26882688"/>
          <a:ext cx="1381231" cy="540262"/>
        </a:xfrm>
        <a:prstGeom prst="rect">
          <a:avLst/>
        </a:prstGeom>
      </xdr:spPr>
    </xdr:pic>
    <xdr:clientData/>
  </xdr:twoCellAnchor>
  <xdr:twoCellAnchor editAs="oneCell">
    <xdr:from>
      <xdr:col>6</xdr:col>
      <xdr:colOff>369217</xdr:colOff>
      <xdr:row>142</xdr:row>
      <xdr:rowOff>147294</xdr:rowOff>
    </xdr:from>
    <xdr:to>
      <xdr:col>8</xdr:col>
      <xdr:colOff>206211</xdr:colOff>
      <xdr:row>144</xdr:row>
      <xdr:rowOff>161036</xdr:rowOff>
    </xdr:to>
    <xdr:pic>
      <xdr:nvPicPr>
        <xdr:cNvPr id="7" name="13 Imagen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/>
        <a:srcRect l="49659" t="47447" r="33151" b="43721"/>
        <a:stretch/>
      </xdr:blipFill>
      <xdr:spPr>
        <a:xfrm>
          <a:off x="5122192" y="28446069"/>
          <a:ext cx="1360994" cy="394742"/>
        </a:xfrm>
        <a:prstGeom prst="rect">
          <a:avLst/>
        </a:prstGeom>
      </xdr:spPr>
    </xdr:pic>
    <xdr:clientData/>
  </xdr:twoCellAnchor>
  <xdr:twoCellAnchor editAs="oneCell">
    <xdr:from>
      <xdr:col>6</xdr:col>
      <xdr:colOff>579356</xdr:colOff>
      <xdr:row>147</xdr:row>
      <xdr:rowOff>137474</xdr:rowOff>
    </xdr:from>
    <xdr:to>
      <xdr:col>8</xdr:col>
      <xdr:colOff>78557</xdr:colOff>
      <xdr:row>149</xdr:row>
      <xdr:rowOff>150976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75405" t="68468" r="11915" b="23074"/>
        <a:stretch/>
      </xdr:blipFill>
      <xdr:spPr>
        <a:xfrm>
          <a:off x="5332331" y="29579249"/>
          <a:ext cx="1023201" cy="394502"/>
        </a:xfrm>
        <a:prstGeom prst="rect">
          <a:avLst/>
        </a:prstGeom>
      </xdr:spPr>
    </xdr:pic>
    <xdr:clientData/>
  </xdr:twoCellAnchor>
  <xdr:twoCellAnchor editAs="oneCell">
    <xdr:from>
      <xdr:col>6</xdr:col>
      <xdr:colOff>481161</xdr:colOff>
      <xdr:row>145</xdr:row>
      <xdr:rowOff>71465</xdr:rowOff>
    </xdr:from>
    <xdr:to>
      <xdr:col>7</xdr:col>
      <xdr:colOff>540079</xdr:colOff>
      <xdr:row>147</xdr:row>
      <xdr:rowOff>19094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l="75063" t="54034" r="14067" b="38448"/>
        <a:stretch/>
      </xdr:blipFill>
      <xdr:spPr>
        <a:xfrm>
          <a:off x="5234136" y="29132240"/>
          <a:ext cx="820918" cy="328629"/>
        </a:xfrm>
        <a:prstGeom prst="rect">
          <a:avLst/>
        </a:prstGeom>
      </xdr:spPr>
    </xdr:pic>
    <xdr:clientData/>
  </xdr:twoCellAnchor>
  <xdr:twoCellAnchor editAs="oneCell">
    <xdr:from>
      <xdr:col>6</xdr:col>
      <xdr:colOff>566269</xdr:colOff>
      <xdr:row>150</xdr:row>
      <xdr:rowOff>176753</xdr:rowOff>
    </xdr:from>
    <xdr:to>
      <xdr:col>8</xdr:col>
      <xdr:colOff>648093</xdr:colOff>
      <xdr:row>153</xdr:row>
      <xdr:rowOff>15711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/>
        <a:srcRect l="67027" t="52359" r="13726" b="39183"/>
        <a:stretch/>
      </xdr:blipFill>
      <xdr:spPr>
        <a:xfrm>
          <a:off x="5319244" y="30190028"/>
          <a:ext cx="1605824" cy="410458"/>
        </a:xfrm>
        <a:prstGeom prst="rect">
          <a:avLst/>
        </a:prstGeom>
      </xdr:spPr>
    </xdr:pic>
    <xdr:clientData/>
  </xdr:twoCellAnchor>
  <xdr:twoCellAnchor editAs="oneCell">
    <xdr:from>
      <xdr:col>6</xdr:col>
      <xdr:colOff>235674</xdr:colOff>
      <xdr:row>157</xdr:row>
      <xdr:rowOff>58920</xdr:rowOff>
    </xdr:from>
    <xdr:to>
      <xdr:col>9</xdr:col>
      <xdr:colOff>598996</xdr:colOff>
      <xdr:row>160</xdr:row>
      <xdr:rowOff>102388</xdr:rowOff>
    </xdr:to>
    <xdr:pic>
      <xdr:nvPicPr>
        <xdr:cNvPr id="11" name="Imagen 10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7133" t="60816" r="54560" b="27773"/>
        <a:stretch/>
      </xdr:blipFill>
      <xdr:spPr>
        <a:xfrm>
          <a:off x="4988649" y="31596195"/>
          <a:ext cx="2649322" cy="614968"/>
        </a:xfrm>
        <a:prstGeom prst="rect">
          <a:avLst/>
        </a:prstGeom>
      </xdr:spPr>
    </xdr:pic>
    <xdr:clientData/>
  </xdr:twoCellAnchor>
  <xdr:twoCellAnchor editAs="oneCell">
    <xdr:from>
      <xdr:col>6</xdr:col>
      <xdr:colOff>589176</xdr:colOff>
      <xdr:row>153</xdr:row>
      <xdr:rowOff>0</xdr:rowOff>
    </xdr:from>
    <xdr:to>
      <xdr:col>8</xdr:col>
      <xdr:colOff>294588</xdr:colOff>
      <xdr:row>155</xdr:row>
      <xdr:rowOff>181983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7546" t="34970" r="66527" b="52411"/>
        <a:stretch/>
      </xdr:blipFill>
      <xdr:spPr>
        <a:xfrm>
          <a:off x="5342151" y="30720760"/>
          <a:ext cx="1229412" cy="562983"/>
        </a:xfrm>
        <a:prstGeom prst="rect">
          <a:avLst/>
        </a:prstGeom>
      </xdr:spPr>
    </xdr:pic>
    <xdr:clientData/>
  </xdr:twoCellAnchor>
  <xdr:twoCellAnchor>
    <xdr:from>
      <xdr:col>6</xdr:col>
      <xdr:colOff>422243</xdr:colOff>
      <xdr:row>186</xdr:row>
      <xdr:rowOff>9820</xdr:rowOff>
    </xdr:from>
    <xdr:to>
      <xdr:col>15</xdr:col>
      <xdr:colOff>608589</xdr:colOff>
      <xdr:row>194</xdr:row>
      <xdr:rowOff>157113</xdr:rowOff>
    </xdr:to>
    <xdr:graphicFrame macro="">
      <xdr:nvGraphicFramePr>
        <xdr:cNvPr id="13" name="Gráfico 4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6</xdr:col>
      <xdr:colOff>432062</xdr:colOff>
      <xdr:row>21</xdr:row>
      <xdr:rowOff>58917</xdr:rowOff>
    </xdr:from>
    <xdr:to>
      <xdr:col>11</xdr:col>
      <xdr:colOff>228110</xdr:colOff>
      <xdr:row>30</xdr:row>
      <xdr:rowOff>116067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/>
        <a:srcRect l="50738" t="53131" r="21513" b="22647"/>
        <a:stretch/>
      </xdr:blipFill>
      <xdr:spPr>
        <a:xfrm>
          <a:off x="5185037" y="3106917"/>
          <a:ext cx="3606048" cy="177165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14</xdr:col>
      <xdr:colOff>818070</xdr:colOff>
      <xdr:row>28</xdr:row>
      <xdr:rowOff>104775</xdr:rowOff>
    </xdr:to>
    <xdr:pic>
      <xdr:nvPicPr>
        <xdr:cNvPr id="15" name="Imagen 14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24975" y="3238500"/>
          <a:ext cx="2513520" cy="1247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0</xdr:colOff>
      <xdr:row>51</xdr:row>
      <xdr:rowOff>86609</xdr:rowOff>
    </xdr:from>
    <xdr:to>
      <xdr:col>5</xdr:col>
      <xdr:colOff>575428</xdr:colOff>
      <xdr:row>66</xdr:row>
      <xdr:rowOff>31226</xdr:rowOff>
    </xdr:to>
    <xdr:graphicFrame macro="">
      <xdr:nvGraphicFramePr>
        <xdr:cNvPr id="16" name="Gráfico 15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0</xdr:col>
      <xdr:colOff>29459</xdr:colOff>
      <xdr:row>90</xdr:row>
      <xdr:rowOff>176753</xdr:rowOff>
    </xdr:from>
    <xdr:to>
      <xdr:col>5</xdr:col>
      <xdr:colOff>604887</xdr:colOff>
      <xdr:row>105</xdr:row>
      <xdr:rowOff>121370</xdr:rowOff>
    </xdr:to>
    <xdr:graphicFrame macro="">
      <xdr:nvGraphicFramePr>
        <xdr:cNvPr id="17" name="Gráfico 16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3</xdr:col>
      <xdr:colOff>693066</xdr:colOff>
      <xdr:row>202</xdr:row>
      <xdr:rowOff>48216</xdr:rowOff>
    </xdr:from>
    <xdr:to>
      <xdr:col>5</xdr:col>
      <xdr:colOff>374812</xdr:colOff>
      <xdr:row>206</xdr:row>
      <xdr:rowOff>124849</xdr:rowOff>
    </xdr:to>
    <xdr:pic>
      <xdr:nvPicPr>
        <xdr:cNvPr id="18" name="Imagen 1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60041" y="40205616"/>
          <a:ext cx="1205746" cy="924358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12</xdr:col>
      <xdr:colOff>338666</xdr:colOff>
      <xdr:row>34</xdr:row>
      <xdr:rowOff>55127</xdr:rowOff>
    </xdr:from>
    <xdr:to>
      <xdr:col>15</xdr:col>
      <xdr:colOff>376767</xdr:colOff>
      <xdr:row>39</xdr:row>
      <xdr:rowOff>168276</xdr:rowOff>
    </xdr:to>
    <xdr:pic>
      <xdr:nvPicPr>
        <xdr:cNvPr id="19" name="Imagen 18" descr="Resultado de imagen para formula desviacion estandar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663641" y="5960627"/>
          <a:ext cx="2667001" cy="10656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285750</xdr:colOff>
      <xdr:row>115</xdr:row>
      <xdr:rowOff>42334</xdr:rowOff>
    </xdr:from>
    <xdr:to>
      <xdr:col>1</xdr:col>
      <xdr:colOff>587481</xdr:colOff>
      <xdr:row>115</xdr:row>
      <xdr:rowOff>433917</xdr:rowOff>
    </xdr:to>
    <xdr:pic>
      <xdr:nvPicPr>
        <xdr:cNvPr id="20" name="11 Imagen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0513" t="48580" r="36525" b="44608"/>
        <a:stretch/>
      </xdr:blipFill>
      <xdr:spPr>
        <a:xfrm>
          <a:off x="1123950" y="22311784"/>
          <a:ext cx="301731" cy="391583"/>
        </a:xfrm>
        <a:prstGeom prst="rect">
          <a:avLst/>
        </a:prstGeom>
      </xdr:spPr>
    </xdr:pic>
    <xdr:clientData/>
  </xdr:twoCellAnchor>
  <xdr:twoCellAnchor editAs="oneCell">
    <xdr:from>
      <xdr:col>2</xdr:col>
      <xdr:colOff>412750</xdr:colOff>
      <xdr:row>115</xdr:row>
      <xdr:rowOff>25363</xdr:rowOff>
    </xdr:from>
    <xdr:to>
      <xdr:col>2</xdr:col>
      <xdr:colOff>603250</xdr:colOff>
      <xdr:row>115</xdr:row>
      <xdr:rowOff>444500</xdr:rowOff>
    </xdr:to>
    <xdr:pic>
      <xdr:nvPicPr>
        <xdr:cNvPr id="21" name="11 Imagen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8344" t="48580" r="39786" b="44129"/>
        <a:stretch/>
      </xdr:blipFill>
      <xdr:spPr>
        <a:xfrm>
          <a:off x="2117725" y="22294813"/>
          <a:ext cx="190500" cy="419137"/>
        </a:xfrm>
        <a:prstGeom prst="rect">
          <a:avLst/>
        </a:prstGeom>
      </xdr:spPr>
    </xdr:pic>
    <xdr:clientData/>
  </xdr:twoCellAnchor>
  <xdr:twoCellAnchor editAs="oneCell">
    <xdr:from>
      <xdr:col>3</xdr:col>
      <xdr:colOff>211666</xdr:colOff>
      <xdr:row>115</xdr:row>
      <xdr:rowOff>31750</xdr:rowOff>
    </xdr:from>
    <xdr:to>
      <xdr:col>3</xdr:col>
      <xdr:colOff>513397</xdr:colOff>
      <xdr:row>115</xdr:row>
      <xdr:rowOff>423333</xdr:rowOff>
    </xdr:to>
    <xdr:pic>
      <xdr:nvPicPr>
        <xdr:cNvPr id="22" name="11 Imagen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0513" t="48580" r="36525" b="44608"/>
        <a:stretch/>
      </xdr:blipFill>
      <xdr:spPr>
        <a:xfrm>
          <a:off x="2678641" y="22301200"/>
          <a:ext cx="301731" cy="391583"/>
        </a:xfrm>
        <a:prstGeom prst="rect">
          <a:avLst/>
        </a:prstGeom>
      </xdr:spPr>
    </xdr:pic>
    <xdr:clientData/>
  </xdr:twoCellAnchor>
  <xdr:twoCellAnchor editAs="oneCell">
    <xdr:from>
      <xdr:col>5</xdr:col>
      <xdr:colOff>317500</xdr:colOff>
      <xdr:row>115</xdr:row>
      <xdr:rowOff>74084</xdr:rowOff>
    </xdr:from>
    <xdr:to>
      <xdr:col>5</xdr:col>
      <xdr:colOff>619231</xdr:colOff>
      <xdr:row>115</xdr:row>
      <xdr:rowOff>465667</xdr:rowOff>
    </xdr:to>
    <xdr:pic>
      <xdr:nvPicPr>
        <xdr:cNvPr id="23" name="11 Imagen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0513" t="48580" r="36525" b="44608"/>
        <a:stretch/>
      </xdr:blipFill>
      <xdr:spPr>
        <a:xfrm>
          <a:off x="4308475" y="22343534"/>
          <a:ext cx="301731" cy="391583"/>
        </a:xfrm>
        <a:prstGeom prst="rect">
          <a:avLst/>
        </a:prstGeom>
      </xdr:spPr>
    </xdr:pic>
    <xdr:clientData/>
  </xdr:twoCellAnchor>
  <xdr:twoCellAnchor editAs="oneCell">
    <xdr:from>
      <xdr:col>7</xdr:col>
      <xdr:colOff>243417</xdr:colOff>
      <xdr:row>115</xdr:row>
      <xdr:rowOff>42333</xdr:rowOff>
    </xdr:from>
    <xdr:to>
      <xdr:col>7</xdr:col>
      <xdr:colOff>545148</xdr:colOff>
      <xdr:row>115</xdr:row>
      <xdr:rowOff>433916</xdr:rowOff>
    </xdr:to>
    <xdr:pic>
      <xdr:nvPicPr>
        <xdr:cNvPr id="24" name="11 Imagen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0513" t="48580" r="36525" b="44608"/>
        <a:stretch/>
      </xdr:blipFill>
      <xdr:spPr>
        <a:xfrm>
          <a:off x="5758392" y="22311783"/>
          <a:ext cx="301731" cy="391583"/>
        </a:xfrm>
        <a:prstGeom prst="rect">
          <a:avLst/>
        </a:prstGeom>
      </xdr:spPr>
    </xdr:pic>
    <xdr:clientData/>
  </xdr:twoCellAnchor>
  <xdr:twoCellAnchor editAs="oneCell">
    <xdr:from>
      <xdr:col>9</xdr:col>
      <xdr:colOff>258234</xdr:colOff>
      <xdr:row>115</xdr:row>
      <xdr:rowOff>25400</xdr:rowOff>
    </xdr:from>
    <xdr:to>
      <xdr:col>9</xdr:col>
      <xdr:colOff>559965</xdr:colOff>
      <xdr:row>115</xdr:row>
      <xdr:rowOff>416983</xdr:rowOff>
    </xdr:to>
    <xdr:pic>
      <xdr:nvPicPr>
        <xdr:cNvPr id="25" name="11 Imagen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60513" t="48580" r="36525" b="44608"/>
        <a:stretch/>
      </xdr:blipFill>
      <xdr:spPr>
        <a:xfrm>
          <a:off x="7297209" y="22294850"/>
          <a:ext cx="301731" cy="391583"/>
        </a:xfrm>
        <a:prstGeom prst="rect">
          <a:avLst/>
        </a:prstGeom>
      </xdr:spPr>
    </xdr:pic>
    <xdr:clientData/>
  </xdr:twoCellAnchor>
  <xdr:twoCellAnchor editAs="oneCell">
    <xdr:from>
      <xdr:col>4</xdr:col>
      <xdr:colOff>275167</xdr:colOff>
      <xdr:row>115</xdr:row>
      <xdr:rowOff>10583</xdr:rowOff>
    </xdr:from>
    <xdr:to>
      <xdr:col>4</xdr:col>
      <xdr:colOff>465667</xdr:colOff>
      <xdr:row>115</xdr:row>
      <xdr:rowOff>429720</xdr:rowOff>
    </xdr:to>
    <xdr:pic>
      <xdr:nvPicPr>
        <xdr:cNvPr id="26" name="11 Imagen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8344" t="48580" r="39786" b="44129"/>
        <a:stretch/>
      </xdr:blipFill>
      <xdr:spPr>
        <a:xfrm>
          <a:off x="3504142" y="22280033"/>
          <a:ext cx="190500" cy="419137"/>
        </a:xfrm>
        <a:prstGeom prst="rect">
          <a:avLst/>
        </a:prstGeom>
      </xdr:spPr>
    </xdr:pic>
    <xdr:clientData/>
  </xdr:twoCellAnchor>
  <xdr:twoCellAnchor editAs="oneCell">
    <xdr:from>
      <xdr:col>6</xdr:col>
      <xdr:colOff>264583</xdr:colOff>
      <xdr:row>115</xdr:row>
      <xdr:rowOff>63500</xdr:rowOff>
    </xdr:from>
    <xdr:to>
      <xdr:col>6</xdr:col>
      <xdr:colOff>455083</xdr:colOff>
      <xdr:row>115</xdr:row>
      <xdr:rowOff>482637</xdr:rowOff>
    </xdr:to>
    <xdr:pic>
      <xdr:nvPicPr>
        <xdr:cNvPr id="27" name="11 Imagen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8344" t="48580" r="39786" b="44129"/>
        <a:stretch/>
      </xdr:blipFill>
      <xdr:spPr>
        <a:xfrm>
          <a:off x="5017558" y="22332950"/>
          <a:ext cx="190500" cy="419137"/>
        </a:xfrm>
        <a:prstGeom prst="rect">
          <a:avLst/>
        </a:prstGeom>
      </xdr:spPr>
    </xdr:pic>
    <xdr:clientData/>
  </xdr:twoCellAnchor>
  <xdr:twoCellAnchor editAs="oneCell">
    <xdr:from>
      <xdr:col>8</xdr:col>
      <xdr:colOff>215900</xdr:colOff>
      <xdr:row>115</xdr:row>
      <xdr:rowOff>46567</xdr:rowOff>
    </xdr:from>
    <xdr:to>
      <xdr:col>8</xdr:col>
      <xdr:colOff>406400</xdr:colOff>
      <xdr:row>115</xdr:row>
      <xdr:rowOff>465704</xdr:rowOff>
    </xdr:to>
    <xdr:pic>
      <xdr:nvPicPr>
        <xdr:cNvPr id="28" name="11 Imagen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8344" t="48580" r="39786" b="44129"/>
        <a:stretch/>
      </xdr:blipFill>
      <xdr:spPr>
        <a:xfrm>
          <a:off x="6492875" y="22316017"/>
          <a:ext cx="190500" cy="419137"/>
        </a:xfrm>
        <a:prstGeom prst="rect">
          <a:avLst/>
        </a:prstGeom>
      </xdr:spPr>
    </xdr:pic>
    <xdr:clientData/>
  </xdr:twoCellAnchor>
  <xdr:twoCellAnchor editAs="oneCell">
    <xdr:from>
      <xdr:col>10</xdr:col>
      <xdr:colOff>262466</xdr:colOff>
      <xdr:row>115</xdr:row>
      <xdr:rowOff>50801</xdr:rowOff>
    </xdr:from>
    <xdr:to>
      <xdr:col>10</xdr:col>
      <xdr:colOff>452966</xdr:colOff>
      <xdr:row>115</xdr:row>
      <xdr:rowOff>469938</xdr:rowOff>
    </xdr:to>
    <xdr:pic>
      <xdr:nvPicPr>
        <xdr:cNvPr id="29" name="11 Imagen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58344" t="48580" r="39786" b="44129"/>
        <a:stretch/>
      </xdr:blipFill>
      <xdr:spPr>
        <a:xfrm>
          <a:off x="8063441" y="22320251"/>
          <a:ext cx="190500" cy="419137"/>
        </a:xfrm>
        <a:prstGeom prst="rect">
          <a:avLst/>
        </a:prstGeom>
      </xdr:spPr>
    </xdr:pic>
    <xdr:clientData/>
  </xdr:twoCellAnchor>
  <xdr:twoCellAnchor editAs="oneCell">
    <xdr:from>
      <xdr:col>6</xdr:col>
      <xdr:colOff>677333</xdr:colOff>
      <xdr:row>161</xdr:row>
      <xdr:rowOff>137583</xdr:rowOff>
    </xdr:from>
    <xdr:to>
      <xdr:col>9</xdr:col>
      <xdr:colOff>515408</xdr:colOff>
      <xdr:row>165</xdr:row>
      <xdr:rowOff>103716</xdr:rowOff>
    </xdr:to>
    <xdr:pic>
      <xdr:nvPicPr>
        <xdr:cNvPr id="30" name="Imagen 29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30308" y="32436858"/>
          <a:ext cx="2124075" cy="72813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603251</xdr:colOff>
      <xdr:row>166</xdr:row>
      <xdr:rowOff>127000</xdr:rowOff>
    </xdr:from>
    <xdr:to>
      <xdr:col>11</xdr:col>
      <xdr:colOff>360892</xdr:colOff>
      <xdr:row>169</xdr:row>
      <xdr:rowOff>170391</xdr:rowOff>
    </xdr:to>
    <xdr:pic>
      <xdr:nvPicPr>
        <xdr:cNvPr id="31" name="Imagen 30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356226" y="33378775"/>
          <a:ext cx="3567641" cy="6148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635001</xdr:colOff>
      <xdr:row>161</xdr:row>
      <xdr:rowOff>42334</xdr:rowOff>
    </xdr:from>
    <xdr:to>
      <xdr:col>12</xdr:col>
      <xdr:colOff>211667</xdr:colOff>
      <xdr:row>164</xdr:row>
      <xdr:rowOff>148167</xdr:rowOff>
    </xdr:to>
    <xdr:pic>
      <xdr:nvPicPr>
        <xdr:cNvPr id="32" name="Imagen 31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/>
        <a:srcRect l="42467" t="48957" r="43622" b="42612"/>
        <a:stretch/>
      </xdr:blipFill>
      <xdr:spPr>
        <a:xfrm>
          <a:off x="7672918" y="31157334"/>
          <a:ext cx="1862666" cy="677333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a3" displayName="Tabla3" ref="Y33:Y84" totalsRowShown="0" headerRowDxfId="4" dataDxfId="2" headerRowBorderDxfId="3" tableBorderDxfId="1">
  <autoFilter ref="Y33:Y84" xr:uid="{00000000-0009-0000-0100-000003000000}"/>
  <sortState xmlns:xlrd2="http://schemas.microsoft.com/office/spreadsheetml/2017/richdata2" ref="Y34:Y84">
    <sortCondition ref="Y33:Y84"/>
  </sortState>
  <tableColumns count="1">
    <tableColumn id="1" xr3:uid="{00000000-0010-0000-0000-000001000000}" name="Residuos ordenados" data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table" Target="../tables/table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3">
    <tabColor rgb="FF92D050"/>
  </sheetPr>
  <dimension ref="A1:IO263"/>
  <sheetViews>
    <sheetView showGridLines="0" tabSelected="1" view="pageBreakPreview" zoomScale="10" zoomScaleNormal="10" zoomScaleSheetLayoutView="10" workbookViewId="0">
      <selection activeCell="E123" sqref="E123"/>
    </sheetView>
  </sheetViews>
  <sheetFormatPr baseColWidth="10" defaultColWidth="11.42578125" defaultRowHeight="15" x14ac:dyDescent="0.2"/>
  <cols>
    <col min="1" max="1" width="11.42578125" style="151"/>
    <col min="2" max="2" width="13.5703125" style="151" customWidth="1"/>
    <col min="3" max="3" width="21.85546875" style="151" customWidth="1"/>
    <col min="4" max="4" width="15.85546875" style="151" customWidth="1"/>
    <col min="5" max="5" width="14.140625" style="151" customWidth="1"/>
    <col min="6" max="7" width="12.7109375" style="151" customWidth="1"/>
    <col min="8" max="10" width="11.7109375" style="151" customWidth="1"/>
    <col min="11" max="11" width="12.7109375" style="151" customWidth="1"/>
    <col min="12" max="12" width="21.5703125" style="151" customWidth="1"/>
    <col min="13" max="13" width="16.28515625" style="151" customWidth="1"/>
    <col min="14" max="14" width="12.7109375" style="151" customWidth="1"/>
    <col min="15" max="16" width="11.7109375" style="151" customWidth="1"/>
    <col min="17" max="20" width="12.7109375" style="151" customWidth="1"/>
    <col min="21" max="21" width="19.7109375" style="151" customWidth="1"/>
    <col min="22" max="22" width="23.85546875" style="151" customWidth="1"/>
    <col min="23" max="23" width="6" style="151" customWidth="1"/>
    <col min="24" max="24" width="11" style="151" customWidth="1"/>
    <col min="25" max="25" width="12" style="151" customWidth="1"/>
    <col min="26" max="26" width="14.42578125" style="151" customWidth="1"/>
    <col min="27" max="27" width="10.28515625" style="151" customWidth="1"/>
    <col min="28" max="28" width="15.140625" style="151" bestFit="1" customWidth="1"/>
    <col min="29" max="16384" width="11.42578125" style="151"/>
  </cols>
  <sheetData>
    <row r="1" spans="1:37" ht="15.75" thickBot="1" x14ac:dyDescent="0.25"/>
    <row r="2" spans="1:37" s="275" customFormat="1" ht="33.950000000000003" customHeight="1" x14ac:dyDescent="0.2">
      <c r="A2" s="545"/>
      <c r="B2" s="546"/>
      <c r="C2" s="547"/>
      <c r="D2" s="555" t="s">
        <v>195</v>
      </c>
      <c r="E2" s="556"/>
      <c r="F2" s="556"/>
      <c r="G2" s="556"/>
      <c r="H2" s="556"/>
      <c r="I2" s="556"/>
      <c r="J2" s="556"/>
      <c r="K2" s="556"/>
      <c r="L2" s="556"/>
      <c r="M2" s="556"/>
      <c r="N2" s="556"/>
      <c r="O2" s="556"/>
      <c r="P2" s="556"/>
      <c r="Q2" s="556"/>
      <c r="R2" s="556"/>
      <c r="S2" s="556"/>
      <c r="T2" s="556"/>
      <c r="U2" s="556"/>
      <c r="V2" s="556"/>
      <c r="W2" s="556"/>
      <c r="X2" s="556"/>
      <c r="Y2" s="556"/>
      <c r="Z2" s="556"/>
      <c r="AA2" s="556"/>
      <c r="AB2" s="556"/>
      <c r="AC2" s="556"/>
      <c r="AD2" s="556"/>
      <c r="AE2" s="556"/>
      <c r="AF2" s="556"/>
      <c r="AG2" s="556"/>
      <c r="AH2" s="556"/>
      <c r="AI2" s="556"/>
      <c r="AJ2" s="557"/>
      <c r="AK2" s="279"/>
    </row>
    <row r="3" spans="1:37" s="275" customFormat="1" ht="33.950000000000003" customHeight="1" x14ac:dyDescent="0.2">
      <c r="A3" s="548"/>
      <c r="B3" s="549"/>
      <c r="C3" s="550"/>
      <c r="D3" s="558"/>
      <c r="E3" s="559"/>
      <c r="F3" s="559"/>
      <c r="G3" s="559"/>
      <c r="H3" s="559"/>
      <c r="I3" s="559"/>
      <c r="J3" s="559"/>
      <c r="K3" s="559"/>
      <c r="L3" s="559"/>
      <c r="M3" s="559"/>
      <c r="N3" s="559"/>
      <c r="O3" s="559"/>
      <c r="P3" s="559"/>
      <c r="Q3" s="559"/>
      <c r="R3" s="559"/>
      <c r="S3" s="559"/>
      <c r="T3" s="559"/>
      <c r="U3" s="559"/>
      <c r="V3" s="559"/>
      <c r="W3" s="559"/>
      <c r="X3" s="559"/>
      <c r="Y3" s="559"/>
      <c r="Z3" s="559"/>
      <c r="AA3" s="559"/>
      <c r="AB3" s="559"/>
      <c r="AC3" s="559"/>
      <c r="AD3" s="559"/>
      <c r="AE3" s="559"/>
      <c r="AF3" s="559"/>
      <c r="AG3" s="559"/>
      <c r="AH3" s="559"/>
      <c r="AI3" s="559"/>
      <c r="AJ3" s="560"/>
      <c r="AK3" s="279"/>
    </row>
    <row r="4" spans="1:37" s="275" customFormat="1" ht="33.950000000000003" customHeight="1" thickBot="1" x14ac:dyDescent="0.25">
      <c r="A4" s="551"/>
      <c r="B4" s="552"/>
      <c r="C4" s="553"/>
      <c r="D4" s="561"/>
      <c r="E4" s="562"/>
      <c r="F4" s="562"/>
      <c r="G4" s="562"/>
      <c r="H4" s="562"/>
      <c r="I4" s="562"/>
      <c r="J4" s="562"/>
      <c r="K4" s="562"/>
      <c r="L4" s="562"/>
      <c r="M4" s="562"/>
      <c r="N4" s="562"/>
      <c r="O4" s="562"/>
      <c r="P4" s="562"/>
      <c r="Q4" s="562"/>
      <c r="R4" s="562"/>
      <c r="S4" s="562"/>
      <c r="T4" s="562"/>
      <c r="U4" s="562"/>
      <c r="V4" s="562"/>
      <c r="W4" s="562"/>
      <c r="X4" s="562"/>
      <c r="Y4" s="562"/>
      <c r="Z4" s="562"/>
      <c r="AA4" s="562"/>
      <c r="AB4" s="562"/>
      <c r="AC4" s="562"/>
      <c r="AD4" s="562"/>
      <c r="AE4" s="562"/>
      <c r="AF4" s="562"/>
      <c r="AG4" s="562"/>
      <c r="AH4" s="562"/>
      <c r="AI4" s="562"/>
      <c r="AJ4" s="563"/>
      <c r="AK4" s="279"/>
    </row>
    <row r="5" spans="1:37" s="275" customFormat="1" ht="20.25" customHeight="1" thickBot="1" x14ac:dyDescent="0.25">
      <c r="A5" s="554"/>
      <c r="B5" s="554"/>
      <c r="C5" s="554"/>
      <c r="D5" s="554"/>
      <c r="E5" s="554"/>
      <c r="F5" s="554"/>
      <c r="G5" s="554"/>
      <c r="H5" s="554"/>
      <c r="I5" s="554"/>
      <c r="J5" s="554"/>
    </row>
    <row r="6" spans="1:37" s="275" customFormat="1" ht="36.75" customHeight="1" thickBot="1" x14ac:dyDescent="0.25">
      <c r="A6" s="564" t="s">
        <v>167</v>
      </c>
      <c r="B6" s="565"/>
      <c r="C6" s="566"/>
      <c r="D6" s="567"/>
      <c r="E6" s="568"/>
      <c r="F6" s="568"/>
      <c r="G6" s="568"/>
      <c r="H6" s="569"/>
      <c r="I6" s="564" t="s">
        <v>168</v>
      </c>
      <c r="J6" s="565"/>
      <c r="K6" s="565"/>
      <c r="L6" s="566"/>
      <c r="M6" s="570"/>
      <c r="N6" s="571"/>
      <c r="O6" s="571"/>
      <c r="P6" s="571"/>
      <c r="Q6" s="571"/>
      <c r="R6" s="572"/>
      <c r="S6" s="564" t="s">
        <v>169</v>
      </c>
      <c r="T6" s="566"/>
      <c r="U6" s="573"/>
      <c r="V6" s="574"/>
      <c r="W6" s="574"/>
      <c r="X6" s="574"/>
      <c r="Y6" s="574"/>
      <c r="Z6" s="575"/>
      <c r="AA6" s="535" t="s">
        <v>173</v>
      </c>
      <c r="AB6" s="536"/>
      <c r="AC6" s="536"/>
      <c r="AD6" s="536"/>
      <c r="AE6" s="539"/>
      <c r="AF6" s="540"/>
      <c r="AG6" s="540"/>
      <c r="AH6" s="540"/>
      <c r="AI6" s="540"/>
      <c r="AJ6" s="541"/>
    </row>
    <row r="7" spans="1:37" s="275" customFormat="1" ht="36" customHeight="1" thickBot="1" x14ac:dyDescent="0.25">
      <c r="A7" s="564" t="s">
        <v>171</v>
      </c>
      <c r="B7" s="565"/>
      <c r="C7" s="566"/>
      <c r="D7" s="567"/>
      <c r="E7" s="568"/>
      <c r="F7" s="568"/>
      <c r="G7" s="568"/>
      <c r="H7" s="569"/>
      <c r="I7" s="564" t="s">
        <v>172</v>
      </c>
      <c r="J7" s="565"/>
      <c r="K7" s="565"/>
      <c r="L7" s="566"/>
      <c r="M7" s="567"/>
      <c r="N7" s="568"/>
      <c r="O7" s="568"/>
      <c r="P7" s="568"/>
      <c r="Q7" s="568"/>
      <c r="R7" s="569"/>
      <c r="S7" s="564" t="s">
        <v>170</v>
      </c>
      <c r="T7" s="566"/>
      <c r="U7" s="576"/>
      <c r="V7" s="577"/>
      <c r="W7" s="577"/>
      <c r="X7" s="577"/>
      <c r="Y7" s="577"/>
      <c r="Z7" s="578"/>
      <c r="AA7" s="537"/>
      <c r="AB7" s="538"/>
      <c r="AC7" s="538"/>
      <c r="AD7" s="538"/>
      <c r="AE7" s="542"/>
      <c r="AF7" s="543"/>
      <c r="AG7" s="543"/>
      <c r="AH7" s="543"/>
      <c r="AI7" s="543"/>
      <c r="AJ7" s="544"/>
    </row>
    <row r="8" spans="1:37" ht="15.75" customHeight="1" x14ac:dyDescent="0.2">
      <c r="A8" s="529"/>
      <c r="B8" s="530"/>
      <c r="C8" s="530"/>
      <c r="D8" s="530"/>
      <c r="E8" s="530"/>
      <c r="F8" s="530"/>
      <c r="G8" s="530"/>
      <c r="H8" s="530"/>
      <c r="I8" s="530"/>
      <c r="J8" s="530"/>
      <c r="K8" s="530"/>
      <c r="L8" s="530"/>
      <c r="M8" s="530"/>
      <c r="N8" s="530"/>
      <c r="O8" s="530"/>
      <c r="P8" s="530"/>
      <c r="Q8" s="530"/>
      <c r="R8" s="530"/>
      <c r="S8" s="530"/>
      <c r="T8" s="530"/>
      <c r="U8" s="530"/>
      <c r="V8" s="530"/>
      <c r="W8" s="530"/>
      <c r="X8" s="530"/>
      <c r="Y8" s="530"/>
      <c r="Z8" s="530"/>
      <c r="AA8" s="530"/>
      <c r="AB8" s="530"/>
      <c r="AC8" s="530"/>
      <c r="AD8" s="530"/>
      <c r="AE8" s="530"/>
      <c r="AF8" s="530"/>
      <c r="AG8" s="530"/>
      <c r="AH8" s="530"/>
      <c r="AI8" s="530"/>
      <c r="AJ8" s="531"/>
    </row>
    <row r="9" spans="1:37" ht="15.75" customHeight="1" x14ac:dyDescent="0.2">
      <c r="A9" s="529"/>
      <c r="B9" s="530"/>
      <c r="C9" s="530"/>
      <c r="D9" s="530"/>
      <c r="E9" s="530"/>
      <c r="F9" s="530"/>
      <c r="G9" s="530"/>
      <c r="H9" s="530"/>
      <c r="I9" s="530"/>
      <c r="J9" s="530"/>
      <c r="K9" s="530"/>
      <c r="L9" s="530"/>
      <c r="M9" s="530"/>
      <c r="N9" s="530"/>
      <c r="O9" s="530"/>
      <c r="P9" s="530"/>
      <c r="Q9" s="530"/>
      <c r="R9" s="530"/>
      <c r="S9" s="530"/>
      <c r="T9" s="530"/>
      <c r="U9" s="530"/>
      <c r="V9" s="530"/>
      <c r="W9" s="530"/>
      <c r="X9" s="530"/>
      <c r="Y9" s="530"/>
      <c r="Z9" s="530"/>
      <c r="AA9" s="530"/>
      <c r="AB9" s="530"/>
      <c r="AC9" s="530"/>
      <c r="AD9" s="530"/>
      <c r="AE9" s="530"/>
      <c r="AF9" s="530"/>
      <c r="AG9" s="530"/>
      <c r="AH9" s="530"/>
      <c r="AI9" s="530"/>
      <c r="AJ9" s="531"/>
    </row>
    <row r="10" spans="1:37" ht="15.75" customHeight="1" thickBot="1" x14ac:dyDescent="0.25">
      <c r="A10" s="532"/>
      <c r="B10" s="533"/>
      <c r="C10" s="533"/>
      <c r="D10" s="533"/>
      <c r="E10" s="533"/>
      <c r="F10" s="533"/>
      <c r="G10" s="533"/>
      <c r="H10" s="533"/>
      <c r="I10" s="533"/>
      <c r="J10" s="533"/>
      <c r="K10" s="533"/>
      <c r="L10" s="533"/>
      <c r="M10" s="533"/>
      <c r="N10" s="533"/>
      <c r="O10" s="533"/>
      <c r="P10" s="533"/>
      <c r="Q10" s="533"/>
      <c r="R10" s="533"/>
      <c r="S10" s="533"/>
      <c r="T10" s="533"/>
      <c r="U10" s="533"/>
      <c r="V10" s="533"/>
      <c r="W10" s="533"/>
      <c r="X10" s="533"/>
      <c r="Y10" s="533"/>
      <c r="Z10" s="533"/>
      <c r="AA10" s="533"/>
      <c r="AB10" s="533"/>
      <c r="AC10" s="533"/>
      <c r="AD10" s="533"/>
      <c r="AE10" s="533"/>
      <c r="AF10" s="533"/>
      <c r="AG10" s="533"/>
      <c r="AH10" s="533"/>
      <c r="AI10" s="533"/>
      <c r="AJ10" s="534"/>
    </row>
    <row r="11" spans="1:37" ht="15.75" thickBot="1" x14ac:dyDescent="0.25"/>
    <row r="12" spans="1:37" ht="35.1" customHeight="1" thickBot="1" x14ac:dyDescent="0.25">
      <c r="B12" s="581" t="s">
        <v>63</v>
      </c>
      <c r="C12" s="582"/>
      <c r="D12" s="582"/>
      <c r="E12" s="582"/>
      <c r="F12" s="582"/>
      <c r="G12" s="582"/>
      <c r="H12" s="582"/>
      <c r="I12" s="582"/>
      <c r="J12" s="582"/>
      <c r="K12" s="582"/>
      <c r="L12" s="582"/>
      <c r="M12" s="582"/>
      <c r="N12" s="582"/>
      <c r="O12" s="582"/>
      <c r="P12" s="582"/>
      <c r="Q12" s="582"/>
      <c r="R12" s="582"/>
      <c r="S12" s="582"/>
      <c r="T12" s="582"/>
      <c r="U12" s="582"/>
      <c r="V12" s="582"/>
      <c r="W12" s="582"/>
      <c r="X12" s="582"/>
      <c r="Y12" s="582"/>
      <c r="Z12" s="582"/>
      <c r="AA12" s="582"/>
      <c r="AB12" s="582"/>
      <c r="AC12" s="582"/>
      <c r="AD12" s="582"/>
      <c r="AE12" s="582"/>
      <c r="AF12" s="582"/>
      <c r="AG12" s="582"/>
      <c r="AH12" s="582"/>
      <c r="AI12" s="582"/>
      <c r="AJ12" s="583"/>
    </row>
    <row r="13" spans="1:37" s="163" customFormat="1" ht="15.75" x14ac:dyDescent="0.25">
      <c r="B13" s="186"/>
      <c r="C13" s="186"/>
      <c r="D13" s="186"/>
      <c r="E13" s="186"/>
      <c r="F13" s="186"/>
      <c r="G13" s="186"/>
      <c r="H13" s="186"/>
      <c r="I13" s="186"/>
      <c r="J13" s="186"/>
      <c r="K13" s="186"/>
      <c r="L13" s="186"/>
      <c r="M13" s="186"/>
      <c r="N13" s="186"/>
      <c r="O13" s="186"/>
      <c r="P13" s="186"/>
      <c r="Q13" s="186"/>
      <c r="R13" s="186"/>
      <c r="S13" s="186"/>
      <c r="T13" s="186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6"/>
      <c r="AH13" s="186"/>
      <c r="AI13" s="186"/>
      <c r="AJ13" s="186"/>
    </row>
    <row r="14" spans="1:37" x14ac:dyDescent="0.2">
      <c r="T14" s="152"/>
      <c r="U14" s="152"/>
      <c r="V14" s="152"/>
    </row>
    <row r="15" spans="1:37" ht="15.75" thickBot="1" x14ac:dyDescent="0.25">
      <c r="T15" s="152"/>
      <c r="U15" s="152"/>
      <c r="V15" s="152"/>
    </row>
    <row r="16" spans="1:37" ht="16.5" thickBot="1" x14ac:dyDescent="0.25">
      <c r="T16" s="200"/>
      <c r="U16" s="320" t="s">
        <v>163</v>
      </c>
      <c r="V16" s="152"/>
    </row>
    <row r="17" spans="1:40" ht="15.75" x14ac:dyDescent="0.25">
      <c r="T17" s="321" t="s">
        <v>8</v>
      </c>
      <c r="U17" s="299" t="s">
        <v>196</v>
      </c>
      <c r="V17" s="152"/>
    </row>
    <row r="18" spans="1:40" ht="15.75" x14ac:dyDescent="0.25">
      <c r="T18" s="322" t="s">
        <v>9</v>
      </c>
      <c r="U18" s="299" t="s">
        <v>197</v>
      </c>
      <c r="V18" s="152"/>
    </row>
    <row r="19" spans="1:40" ht="15.75" x14ac:dyDescent="0.25">
      <c r="T19" s="322" t="s">
        <v>10</v>
      </c>
      <c r="U19" s="465" t="s">
        <v>204</v>
      </c>
      <c r="V19" s="152"/>
    </row>
    <row r="20" spans="1:40" ht="15.75" x14ac:dyDescent="0.25">
      <c r="T20" s="322"/>
      <c r="U20" s="299"/>
      <c r="V20" s="168"/>
    </row>
    <row r="21" spans="1:40" ht="15.75" x14ac:dyDescent="0.25">
      <c r="T21" s="322"/>
      <c r="U21" s="299"/>
      <c r="V21" s="168"/>
    </row>
    <row r="22" spans="1:40" ht="16.5" thickBot="1" x14ac:dyDescent="0.3">
      <c r="T22" s="323"/>
      <c r="U22" s="300"/>
      <c r="V22" s="168"/>
    </row>
    <row r="23" spans="1:40" ht="15.75" thickBot="1" x14ac:dyDescent="0.25"/>
    <row r="24" spans="1:40" ht="16.5" thickBot="1" x14ac:dyDescent="0.25">
      <c r="T24" s="614" t="s">
        <v>62</v>
      </c>
      <c r="U24" s="615"/>
      <c r="V24" s="615"/>
      <c r="W24" s="324">
        <f>+COUNT(D34:F48)</f>
        <v>0</v>
      </c>
      <c r="X24" s="320" t="s">
        <v>45</v>
      </c>
    </row>
    <row r="25" spans="1:40" ht="16.5" thickBot="1" x14ac:dyDescent="0.25">
      <c r="T25" s="616" t="s">
        <v>61</v>
      </c>
      <c r="U25" s="617"/>
      <c r="V25" s="617"/>
      <c r="W25" s="325">
        <v>3</v>
      </c>
      <c r="X25" s="376" t="s">
        <v>199</v>
      </c>
    </row>
    <row r="26" spans="1:40" ht="16.5" thickBot="1" x14ac:dyDescent="0.25">
      <c r="T26" s="579" t="s">
        <v>60</v>
      </c>
      <c r="U26" s="580"/>
      <c r="V26" s="580"/>
      <c r="W26" s="326">
        <f>+COUNT(D34:D48)</f>
        <v>0</v>
      </c>
    </row>
    <row r="31" spans="1:40" ht="15.75" thickBot="1" x14ac:dyDescent="0.25"/>
    <row r="32" spans="1:40" s="187" customFormat="1" ht="35.1" customHeight="1" thickBot="1" x14ac:dyDescent="0.4">
      <c r="A32" s="151"/>
      <c r="B32" s="151"/>
      <c r="C32" s="151"/>
      <c r="D32" s="301" t="str">
        <f>T17</f>
        <v>M1</v>
      </c>
      <c r="E32" s="302" t="str">
        <f>T18</f>
        <v>M2</v>
      </c>
      <c r="F32" s="303" t="str">
        <f>T19</f>
        <v>M3</v>
      </c>
      <c r="G32" s="327"/>
      <c r="H32" s="327"/>
      <c r="I32" s="327"/>
      <c r="J32" s="151"/>
      <c r="K32" s="581" t="s">
        <v>11</v>
      </c>
      <c r="L32" s="582"/>
      <c r="M32" s="582"/>
      <c r="N32" s="582"/>
      <c r="O32" s="582"/>
      <c r="P32" s="582"/>
      <c r="Q32" s="582"/>
      <c r="R32" s="582"/>
      <c r="S32" s="582"/>
      <c r="T32" s="582"/>
      <c r="U32" s="582"/>
      <c r="V32" s="582"/>
      <c r="W32" s="589"/>
      <c r="X32" s="589"/>
      <c r="Y32" s="589"/>
      <c r="Z32" s="589"/>
      <c r="AA32" s="151"/>
      <c r="AB32" s="151"/>
      <c r="AC32" s="151"/>
      <c r="AD32" s="151"/>
      <c r="AE32" s="151"/>
      <c r="AF32" s="584" t="s">
        <v>75</v>
      </c>
      <c r="AG32" s="585"/>
      <c r="AH32" s="585"/>
      <c r="AI32" s="585"/>
      <c r="AJ32" s="586"/>
      <c r="AK32" s="151"/>
      <c r="AL32" s="151"/>
      <c r="AM32" s="151"/>
      <c r="AN32" s="151"/>
    </row>
    <row r="33" spans="4:36" ht="47.25" customHeight="1" thickBot="1" x14ac:dyDescent="0.3">
      <c r="D33" s="328" t="str">
        <f>U17</f>
        <v>EAR</v>
      </c>
      <c r="E33" s="329" t="str">
        <f>U18</f>
        <v>LHB</v>
      </c>
      <c r="F33" s="330" t="str">
        <f>U19</f>
        <v>SCS</v>
      </c>
      <c r="G33" s="327"/>
      <c r="H33" s="327"/>
      <c r="I33" s="327"/>
      <c r="K33" s="331" t="s">
        <v>8</v>
      </c>
      <c r="L33" s="332" t="s">
        <v>9</v>
      </c>
      <c r="M33" s="333" t="s">
        <v>10</v>
      </c>
      <c r="N33" s="327"/>
      <c r="O33" s="327"/>
      <c r="P33" s="327"/>
      <c r="R33" s="331" t="s">
        <v>8</v>
      </c>
      <c r="S33" s="332" t="s">
        <v>9</v>
      </c>
      <c r="T33" s="333" t="s">
        <v>10</v>
      </c>
      <c r="U33" s="157"/>
      <c r="V33" s="327"/>
      <c r="W33" s="451" t="s">
        <v>155</v>
      </c>
      <c r="X33" s="452" t="s">
        <v>160</v>
      </c>
      <c r="Y33" s="453" t="s">
        <v>161</v>
      </c>
      <c r="AF33" s="334" t="s">
        <v>155</v>
      </c>
      <c r="AG33" s="587" t="s">
        <v>156</v>
      </c>
      <c r="AH33" s="588"/>
      <c r="AI33" s="335" t="s">
        <v>73</v>
      </c>
      <c r="AJ33" s="335" t="s">
        <v>74</v>
      </c>
    </row>
    <row r="34" spans="4:36" ht="15.95" customHeight="1" x14ac:dyDescent="0.2">
      <c r="D34" s="250"/>
      <c r="E34" s="251"/>
      <c r="F34" s="252"/>
      <c r="G34" s="155"/>
      <c r="H34" s="155"/>
      <c r="I34" s="176"/>
      <c r="J34" s="156"/>
      <c r="K34" s="228" t="e">
        <f t="shared" ref="K34:K48" si="0">+D34-$D$59</f>
        <v>#DIV/0!</v>
      </c>
      <c r="L34" s="229" t="e">
        <f t="shared" ref="L34:L48" si="1">+E34-$E$59</f>
        <v>#DIV/0!</v>
      </c>
      <c r="M34" s="230" t="e">
        <f t="shared" ref="M34:M48" si="2">+F34-$F$59</f>
        <v>#DIV/0!</v>
      </c>
      <c r="N34" s="157"/>
      <c r="O34" s="157"/>
      <c r="P34" s="176"/>
      <c r="R34" s="235" t="e">
        <f t="shared" ref="R34:T38" si="3">+K34^2</f>
        <v>#DIV/0!</v>
      </c>
      <c r="S34" s="236" t="e">
        <f t="shared" si="3"/>
        <v>#DIV/0!</v>
      </c>
      <c r="T34" s="237" t="e">
        <f t="shared" si="3"/>
        <v>#DIV/0!</v>
      </c>
      <c r="U34" s="157"/>
      <c r="V34" s="176"/>
      <c r="W34" s="315">
        <v>1</v>
      </c>
      <c r="X34" s="454" t="e">
        <f>K$34</f>
        <v>#DIV/0!</v>
      </c>
      <c r="Y34" s="445">
        <v>-0.99999999997671551</v>
      </c>
      <c r="AF34" s="307">
        <v>1</v>
      </c>
      <c r="AG34" s="308">
        <f t="shared" ref="AG34:AG48" si="4">Y34</f>
        <v>-0.99999999997671551</v>
      </c>
      <c r="AH34" s="309" t="e">
        <f t="shared" ref="AH34:AH42" si="5">+(AF34-0.5)/$W$24</f>
        <v>#DIV/0!</v>
      </c>
      <c r="AI34" s="309" t="e">
        <f>_xlfn.NORM.S.INV(AH34)</f>
        <v>#DIV/0!</v>
      </c>
      <c r="AJ34" s="310" t="e">
        <f t="shared" ref="AJ34:AJ78" si="6">+AI34*$D$174</f>
        <v>#DIV/0!</v>
      </c>
    </row>
    <row r="35" spans="4:36" x14ac:dyDescent="0.2">
      <c r="D35" s="222"/>
      <c r="E35" s="223"/>
      <c r="F35" s="224"/>
      <c r="G35" s="155"/>
      <c r="H35" s="155"/>
      <c r="I35" s="176"/>
      <c r="J35" s="156"/>
      <c r="K35" s="304" t="e">
        <f t="shared" si="0"/>
        <v>#DIV/0!</v>
      </c>
      <c r="L35" s="305" t="e">
        <f t="shared" si="1"/>
        <v>#DIV/0!</v>
      </c>
      <c r="M35" s="231" t="e">
        <f t="shared" si="2"/>
        <v>#DIV/0!</v>
      </c>
      <c r="N35" s="157"/>
      <c r="O35" s="157"/>
      <c r="P35" s="176"/>
      <c r="R35" s="238" t="e">
        <f t="shared" si="3"/>
        <v>#DIV/0!</v>
      </c>
      <c r="S35" s="239" t="e">
        <f t="shared" si="3"/>
        <v>#DIV/0!</v>
      </c>
      <c r="T35" s="240" t="e">
        <f t="shared" si="3"/>
        <v>#DIV/0!</v>
      </c>
      <c r="U35" s="157"/>
      <c r="V35" s="176"/>
      <c r="W35" s="316">
        <v>2</v>
      </c>
      <c r="X35" s="449" t="e">
        <f t="shared" ref="X35:X48" si="7">K35</f>
        <v>#DIV/0!</v>
      </c>
      <c r="Y35" s="446">
        <v>-0.74999999997671551</v>
      </c>
      <c r="AF35" s="311">
        <v>2</v>
      </c>
      <c r="AG35" s="312">
        <f t="shared" si="4"/>
        <v>-0.74999999997671551</v>
      </c>
      <c r="AH35" s="313" t="e">
        <f t="shared" si="5"/>
        <v>#DIV/0!</v>
      </c>
      <c r="AI35" s="313" t="e">
        <f t="shared" ref="AI35:AI38" si="8">_xlfn.NORM.S.INV(AH35)</f>
        <v>#DIV/0!</v>
      </c>
      <c r="AJ35" s="314" t="e">
        <f t="shared" si="6"/>
        <v>#DIV/0!</v>
      </c>
    </row>
    <row r="36" spans="4:36" x14ac:dyDescent="0.2">
      <c r="D36" s="222"/>
      <c r="E36" s="223"/>
      <c r="F36" s="224"/>
      <c r="G36" s="155"/>
      <c r="H36" s="155"/>
      <c r="I36" s="176"/>
      <c r="J36" s="156"/>
      <c r="K36" s="304" t="e">
        <f t="shared" si="0"/>
        <v>#DIV/0!</v>
      </c>
      <c r="L36" s="305" t="e">
        <f t="shared" si="1"/>
        <v>#DIV/0!</v>
      </c>
      <c r="M36" s="231" t="e">
        <f t="shared" si="2"/>
        <v>#DIV/0!</v>
      </c>
      <c r="N36" s="157"/>
      <c r="O36" s="157"/>
      <c r="P36" s="176"/>
      <c r="R36" s="238" t="e">
        <f t="shared" si="3"/>
        <v>#DIV/0!</v>
      </c>
      <c r="S36" s="239" t="e">
        <f t="shared" si="3"/>
        <v>#DIV/0!</v>
      </c>
      <c r="T36" s="240" t="e">
        <f t="shared" si="3"/>
        <v>#DIV/0!</v>
      </c>
      <c r="U36" s="157"/>
      <c r="V36" s="176"/>
      <c r="W36" s="316">
        <v>3</v>
      </c>
      <c r="X36" s="449" t="e">
        <f t="shared" si="7"/>
        <v>#DIV/0!</v>
      </c>
      <c r="Y36" s="446">
        <v>-0.62500000009313084</v>
      </c>
      <c r="AF36" s="311">
        <v>3</v>
      </c>
      <c r="AG36" s="312">
        <f t="shared" si="4"/>
        <v>-0.62500000009313084</v>
      </c>
      <c r="AH36" s="313" t="e">
        <f t="shared" si="5"/>
        <v>#DIV/0!</v>
      </c>
      <c r="AI36" s="313" t="e">
        <f t="shared" si="8"/>
        <v>#DIV/0!</v>
      </c>
      <c r="AJ36" s="314" t="e">
        <f t="shared" si="6"/>
        <v>#DIV/0!</v>
      </c>
    </row>
    <row r="37" spans="4:36" x14ac:dyDescent="0.2">
      <c r="D37" s="222"/>
      <c r="E37" s="223"/>
      <c r="F37" s="224"/>
      <c r="G37" s="155"/>
      <c r="H37" s="155"/>
      <c r="I37" s="176"/>
      <c r="J37" s="156"/>
      <c r="K37" s="304" t="e">
        <f t="shared" si="0"/>
        <v>#DIV/0!</v>
      </c>
      <c r="L37" s="305" t="e">
        <f t="shared" si="1"/>
        <v>#DIV/0!</v>
      </c>
      <c r="M37" s="231" t="e">
        <f t="shared" si="2"/>
        <v>#DIV/0!</v>
      </c>
      <c r="N37" s="157"/>
      <c r="O37" s="157"/>
      <c r="P37" s="176"/>
      <c r="R37" s="238" t="e">
        <f t="shared" si="3"/>
        <v>#DIV/0!</v>
      </c>
      <c r="S37" s="239" t="e">
        <f t="shared" si="3"/>
        <v>#DIV/0!</v>
      </c>
      <c r="T37" s="240" t="e">
        <f t="shared" si="3"/>
        <v>#DIV/0!</v>
      </c>
      <c r="U37" s="157"/>
      <c r="V37" s="176"/>
      <c r="W37" s="316">
        <v>4</v>
      </c>
      <c r="X37" s="449" t="e">
        <f t="shared" si="7"/>
        <v>#DIV/0!</v>
      </c>
      <c r="Y37" s="446">
        <v>-0.39166666675203743</v>
      </c>
      <c r="AF37" s="311">
        <v>4</v>
      </c>
      <c r="AG37" s="312">
        <f t="shared" si="4"/>
        <v>-0.39166666675203743</v>
      </c>
      <c r="AH37" s="313" t="e">
        <f t="shared" si="5"/>
        <v>#DIV/0!</v>
      </c>
      <c r="AI37" s="313" t="e">
        <f t="shared" si="8"/>
        <v>#DIV/0!</v>
      </c>
      <c r="AJ37" s="314" t="e">
        <f t="shared" si="6"/>
        <v>#DIV/0!</v>
      </c>
    </row>
    <row r="38" spans="4:36" x14ac:dyDescent="0.2">
      <c r="D38" s="222"/>
      <c r="E38" s="223"/>
      <c r="F38" s="224"/>
      <c r="G38" s="155"/>
      <c r="H38" s="155"/>
      <c r="I38" s="176"/>
      <c r="J38" s="156"/>
      <c r="K38" s="304" t="e">
        <f t="shared" si="0"/>
        <v>#DIV/0!</v>
      </c>
      <c r="L38" s="305" t="e">
        <f t="shared" si="1"/>
        <v>#DIV/0!</v>
      </c>
      <c r="M38" s="231" t="e">
        <f t="shared" si="2"/>
        <v>#DIV/0!</v>
      </c>
      <c r="N38" s="157"/>
      <c r="O38" s="157"/>
      <c r="P38" s="176"/>
      <c r="R38" s="238" t="e">
        <f t="shared" si="3"/>
        <v>#DIV/0!</v>
      </c>
      <c r="S38" s="239" t="e">
        <f t="shared" si="3"/>
        <v>#DIV/0!</v>
      </c>
      <c r="T38" s="240" t="e">
        <f t="shared" si="3"/>
        <v>#DIV/0!</v>
      </c>
      <c r="U38" s="157"/>
      <c r="V38" s="176"/>
      <c r="W38" s="316">
        <v>5</v>
      </c>
      <c r="X38" s="449" t="e">
        <f t="shared" si="7"/>
        <v>#DIV/0!</v>
      </c>
      <c r="Y38" s="446">
        <v>-0.37499999997671551</v>
      </c>
      <c r="AF38" s="311">
        <v>5</v>
      </c>
      <c r="AG38" s="312">
        <f t="shared" si="4"/>
        <v>-0.37499999997671551</v>
      </c>
      <c r="AH38" s="313" t="e">
        <f t="shared" si="5"/>
        <v>#DIV/0!</v>
      </c>
      <c r="AI38" s="313" t="e">
        <f t="shared" si="8"/>
        <v>#DIV/0!</v>
      </c>
      <c r="AJ38" s="314" t="e">
        <f t="shared" si="6"/>
        <v>#DIV/0!</v>
      </c>
    </row>
    <row r="39" spans="4:36" x14ac:dyDescent="0.2">
      <c r="D39" s="222"/>
      <c r="E39" s="223"/>
      <c r="F39" s="224"/>
      <c r="G39" s="155"/>
      <c r="H39" s="155"/>
      <c r="I39" s="176"/>
      <c r="J39" s="156"/>
      <c r="K39" s="304" t="e">
        <f t="shared" si="0"/>
        <v>#DIV/0!</v>
      </c>
      <c r="L39" s="305" t="e">
        <f t="shared" si="1"/>
        <v>#DIV/0!</v>
      </c>
      <c r="M39" s="231" t="e">
        <f t="shared" si="2"/>
        <v>#DIV/0!</v>
      </c>
      <c r="N39" s="157"/>
      <c r="O39" s="157"/>
      <c r="P39" s="176"/>
      <c r="R39" s="238" t="e">
        <f t="shared" ref="R39:R41" si="9">+K39^2</f>
        <v>#DIV/0!</v>
      </c>
      <c r="S39" s="239" t="e">
        <f t="shared" ref="S39:S41" si="10">+L39^2</f>
        <v>#DIV/0!</v>
      </c>
      <c r="T39" s="240" t="e">
        <f t="shared" ref="T39:T41" si="11">+M39^2</f>
        <v>#DIV/0!</v>
      </c>
      <c r="U39" s="157"/>
      <c r="V39" s="176"/>
      <c r="W39" s="316">
        <v>6</v>
      </c>
      <c r="X39" s="449" t="e">
        <f t="shared" si="7"/>
        <v>#DIV/0!</v>
      </c>
      <c r="Y39" s="446">
        <v>-0.28666666666666529</v>
      </c>
      <c r="AC39" s="204"/>
      <c r="AF39" s="311">
        <v>6</v>
      </c>
      <c r="AG39" s="312">
        <f t="shared" si="4"/>
        <v>-0.28666666666666529</v>
      </c>
      <c r="AH39" s="313" t="e">
        <f t="shared" si="5"/>
        <v>#DIV/0!</v>
      </c>
      <c r="AI39" s="313" t="e">
        <f>_xlfn.NORM.S.INV(AH39)</f>
        <v>#DIV/0!</v>
      </c>
      <c r="AJ39" s="314" t="e">
        <f t="shared" si="6"/>
        <v>#DIV/0!</v>
      </c>
    </row>
    <row r="40" spans="4:36" x14ac:dyDescent="0.2">
      <c r="D40" s="222"/>
      <c r="E40" s="223"/>
      <c r="F40" s="224"/>
      <c r="G40" s="155"/>
      <c r="H40" s="155"/>
      <c r="I40" s="176"/>
      <c r="J40" s="156"/>
      <c r="K40" s="304" t="e">
        <f t="shared" si="0"/>
        <v>#DIV/0!</v>
      </c>
      <c r="L40" s="305" t="e">
        <f t="shared" si="1"/>
        <v>#DIV/0!</v>
      </c>
      <c r="M40" s="231" t="e">
        <f t="shared" si="2"/>
        <v>#DIV/0!</v>
      </c>
      <c r="N40" s="157"/>
      <c r="O40" s="157"/>
      <c r="P40" s="176"/>
      <c r="R40" s="238" t="e">
        <f t="shared" si="9"/>
        <v>#DIV/0!</v>
      </c>
      <c r="S40" s="239" t="e">
        <f t="shared" si="10"/>
        <v>#DIV/0!</v>
      </c>
      <c r="T40" s="240" t="e">
        <f t="shared" si="11"/>
        <v>#DIV/0!</v>
      </c>
      <c r="U40" s="157"/>
      <c r="V40" s="176"/>
      <c r="W40" s="316">
        <v>7</v>
      </c>
      <c r="X40" s="449" t="e">
        <f t="shared" si="7"/>
        <v>#DIV/0!</v>
      </c>
      <c r="Y40" s="446">
        <v>-0.26666666675203743</v>
      </c>
      <c r="AC40" s="204"/>
      <c r="AF40" s="311">
        <v>7</v>
      </c>
      <c r="AG40" s="312">
        <f t="shared" si="4"/>
        <v>-0.26666666675203743</v>
      </c>
      <c r="AH40" s="313" t="e">
        <f t="shared" si="5"/>
        <v>#DIV/0!</v>
      </c>
      <c r="AI40" s="313" t="e">
        <f>_xlfn.NORM.S.INV(AH40)</f>
        <v>#DIV/0!</v>
      </c>
      <c r="AJ40" s="314" t="e">
        <f t="shared" si="6"/>
        <v>#DIV/0!</v>
      </c>
    </row>
    <row r="41" spans="4:36" x14ac:dyDescent="0.2">
      <c r="D41" s="222"/>
      <c r="E41" s="223"/>
      <c r="F41" s="224"/>
      <c r="G41" s="155"/>
      <c r="H41" s="155"/>
      <c r="I41" s="176"/>
      <c r="J41" s="156"/>
      <c r="K41" s="304" t="e">
        <f t="shared" si="0"/>
        <v>#DIV/0!</v>
      </c>
      <c r="L41" s="305" t="e">
        <f t="shared" si="1"/>
        <v>#DIV/0!</v>
      </c>
      <c r="M41" s="231" t="e">
        <f t="shared" si="2"/>
        <v>#DIV/0!</v>
      </c>
      <c r="N41" s="157"/>
      <c r="O41" s="157"/>
      <c r="P41" s="176"/>
      <c r="R41" s="238" t="e">
        <f t="shared" si="9"/>
        <v>#DIV/0!</v>
      </c>
      <c r="S41" s="239" t="e">
        <f t="shared" si="10"/>
        <v>#DIV/0!</v>
      </c>
      <c r="T41" s="240" t="e">
        <f t="shared" si="11"/>
        <v>#DIV/0!</v>
      </c>
      <c r="U41" s="157"/>
      <c r="V41" s="176"/>
      <c r="W41" s="316">
        <v>8</v>
      </c>
      <c r="X41" s="449" t="e">
        <f t="shared" si="7"/>
        <v>#DIV/0!</v>
      </c>
      <c r="Y41" s="446">
        <v>-0.24999999997671551</v>
      </c>
      <c r="AC41" s="204"/>
      <c r="AF41" s="311">
        <v>8</v>
      </c>
      <c r="AG41" s="312">
        <f t="shared" si="4"/>
        <v>-0.24999999997671551</v>
      </c>
      <c r="AH41" s="313" t="e">
        <f t="shared" si="5"/>
        <v>#DIV/0!</v>
      </c>
      <c r="AI41" s="313" t="e">
        <f>_xlfn.NORM.S.INV(AH41)</f>
        <v>#DIV/0!</v>
      </c>
      <c r="AJ41" s="314" t="e">
        <f t="shared" si="6"/>
        <v>#DIV/0!</v>
      </c>
    </row>
    <row r="42" spans="4:36" x14ac:dyDescent="0.2">
      <c r="D42" s="222"/>
      <c r="E42" s="223"/>
      <c r="F42" s="224"/>
      <c r="G42" s="155"/>
      <c r="H42" s="155"/>
      <c r="I42" s="176"/>
      <c r="J42" s="156"/>
      <c r="K42" s="304" t="e">
        <f t="shared" si="0"/>
        <v>#DIV/0!</v>
      </c>
      <c r="L42" s="305" t="e">
        <f t="shared" si="1"/>
        <v>#DIV/0!</v>
      </c>
      <c r="M42" s="231" t="e">
        <f t="shared" si="2"/>
        <v>#DIV/0!</v>
      </c>
      <c r="N42" s="157"/>
      <c r="O42" s="157"/>
      <c r="P42" s="176"/>
      <c r="R42" s="238" t="e">
        <f t="shared" ref="R42" si="12">+K42^2</f>
        <v>#DIV/0!</v>
      </c>
      <c r="S42" s="239" t="e">
        <f t="shared" ref="S42" si="13">+L42^2</f>
        <v>#DIV/0!</v>
      </c>
      <c r="T42" s="240" t="e">
        <f t="shared" ref="T42" si="14">+M42^2</f>
        <v>#DIV/0!</v>
      </c>
      <c r="U42" s="157"/>
      <c r="V42" s="176"/>
      <c r="W42" s="316">
        <v>9</v>
      </c>
      <c r="X42" s="449" t="e">
        <f t="shared" si="7"/>
        <v>#DIV/0!</v>
      </c>
      <c r="Y42" s="446">
        <v>-0.24999999997671551</v>
      </c>
      <c r="AC42" s="204"/>
      <c r="AF42" s="311">
        <v>9</v>
      </c>
      <c r="AG42" s="312">
        <f t="shared" si="4"/>
        <v>-0.24999999997671551</v>
      </c>
      <c r="AH42" s="313" t="e">
        <f t="shared" si="5"/>
        <v>#DIV/0!</v>
      </c>
      <c r="AI42" s="313" t="e">
        <f>_xlfn.NORM.S.INV(AH42)</f>
        <v>#DIV/0!</v>
      </c>
      <c r="AJ42" s="314" t="e">
        <f t="shared" si="6"/>
        <v>#DIV/0!</v>
      </c>
    </row>
    <row r="43" spans="4:36" x14ac:dyDescent="0.2">
      <c r="D43" s="222"/>
      <c r="E43" s="223"/>
      <c r="F43" s="224"/>
      <c r="G43" s="155"/>
      <c r="H43" s="155"/>
      <c r="I43" s="176"/>
      <c r="J43" s="156"/>
      <c r="K43" s="304" t="e">
        <f t="shared" si="0"/>
        <v>#DIV/0!</v>
      </c>
      <c r="L43" s="305" t="e">
        <f t="shared" si="1"/>
        <v>#DIV/0!</v>
      </c>
      <c r="M43" s="231" t="e">
        <f t="shared" si="2"/>
        <v>#DIV/0!</v>
      </c>
      <c r="N43" s="157"/>
      <c r="O43" s="157"/>
      <c r="P43" s="176"/>
      <c r="R43" s="238" t="e">
        <f t="shared" ref="R43:R48" si="15">+K43^2</f>
        <v>#DIV/0!</v>
      </c>
      <c r="S43" s="239" t="e">
        <f t="shared" ref="S43:S48" si="16">+L43^2</f>
        <v>#DIV/0!</v>
      </c>
      <c r="T43" s="240" t="e">
        <f t="shared" ref="T43:T48" si="17">+M43^2</f>
        <v>#DIV/0!</v>
      </c>
      <c r="U43" s="157"/>
      <c r="V43" s="176"/>
      <c r="W43" s="316">
        <v>10</v>
      </c>
      <c r="X43" s="449" t="e">
        <f t="shared" si="7"/>
        <v>#DIV/0!</v>
      </c>
      <c r="Y43" s="446">
        <v>-0.24999999997671551</v>
      </c>
      <c r="AC43" s="204"/>
      <c r="AF43" s="311">
        <v>10</v>
      </c>
      <c r="AG43" s="312">
        <f t="shared" si="4"/>
        <v>-0.24999999997671551</v>
      </c>
      <c r="AH43" s="313" t="e">
        <f t="shared" ref="AH43:AH78" si="18">+(AF43-0.5)/$W$24</f>
        <v>#DIV/0!</v>
      </c>
      <c r="AI43" s="313" t="e">
        <f t="shared" ref="AI43:AI78" si="19">_xlfn.NORM.S.INV(AH43)</f>
        <v>#DIV/0!</v>
      </c>
      <c r="AJ43" s="314" t="e">
        <f t="shared" si="6"/>
        <v>#DIV/0!</v>
      </c>
    </row>
    <row r="44" spans="4:36" x14ac:dyDescent="0.2">
      <c r="D44" s="222"/>
      <c r="E44" s="223"/>
      <c r="F44" s="224"/>
      <c r="G44" s="155"/>
      <c r="H44" s="155"/>
      <c r="I44" s="176"/>
      <c r="J44" s="156"/>
      <c r="K44" s="304" t="e">
        <f t="shared" si="0"/>
        <v>#DIV/0!</v>
      </c>
      <c r="L44" s="305" t="e">
        <f t="shared" si="1"/>
        <v>#DIV/0!</v>
      </c>
      <c r="M44" s="231" t="e">
        <f t="shared" si="2"/>
        <v>#DIV/0!</v>
      </c>
      <c r="N44" s="157"/>
      <c r="O44" s="157"/>
      <c r="P44" s="176"/>
      <c r="R44" s="238" t="e">
        <f t="shared" si="15"/>
        <v>#DIV/0!</v>
      </c>
      <c r="S44" s="239" t="e">
        <f t="shared" si="16"/>
        <v>#DIV/0!</v>
      </c>
      <c r="T44" s="240" t="e">
        <f t="shared" si="17"/>
        <v>#DIV/0!</v>
      </c>
      <c r="U44" s="157"/>
      <c r="V44" s="176"/>
      <c r="W44" s="316">
        <v>11</v>
      </c>
      <c r="X44" s="449" t="e">
        <f t="shared" si="7"/>
        <v>#DIV/0!</v>
      </c>
      <c r="Y44" s="446">
        <v>-0.18666666666666742</v>
      </c>
      <c r="AC44" s="204"/>
      <c r="AF44" s="311">
        <v>11</v>
      </c>
      <c r="AG44" s="312">
        <f t="shared" si="4"/>
        <v>-0.18666666666666742</v>
      </c>
      <c r="AH44" s="313" t="e">
        <f t="shared" si="18"/>
        <v>#DIV/0!</v>
      </c>
      <c r="AI44" s="313" t="e">
        <f t="shared" si="19"/>
        <v>#DIV/0!</v>
      </c>
      <c r="AJ44" s="314" t="e">
        <f t="shared" si="6"/>
        <v>#DIV/0!</v>
      </c>
    </row>
    <row r="45" spans="4:36" x14ac:dyDescent="0.2">
      <c r="D45" s="222"/>
      <c r="E45" s="223"/>
      <c r="F45" s="224"/>
      <c r="G45" s="155"/>
      <c r="H45" s="155"/>
      <c r="I45" s="176"/>
      <c r="J45" s="156"/>
      <c r="K45" s="304" t="e">
        <f t="shared" si="0"/>
        <v>#DIV/0!</v>
      </c>
      <c r="L45" s="305" t="e">
        <f t="shared" si="1"/>
        <v>#DIV/0!</v>
      </c>
      <c r="M45" s="231" t="e">
        <f t="shared" si="2"/>
        <v>#DIV/0!</v>
      </c>
      <c r="N45" s="157"/>
      <c r="O45" s="157"/>
      <c r="P45" s="176"/>
      <c r="R45" s="238" t="e">
        <f t="shared" si="15"/>
        <v>#DIV/0!</v>
      </c>
      <c r="S45" s="239" t="e">
        <f t="shared" si="16"/>
        <v>#DIV/0!</v>
      </c>
      <c r="T45" s="240" t="e">
        <f t="shared" si="17"/>
        <v>#DIV/0!</v>
      </c>
      <c r="U45" s="157"/>
      <c r="V45" s="176"/>
      <c r="W45" s="316">
        <v>12</v>
      </c>
      <c r="X45" s="449" t="e">
        <f t="shared" si="7"/>
        <v>#DIV/0!</v>
      </c>
      <c r="Y45" s="446">
        <v>-0.14166666663562211</v>
      </c>
      <c r="AC45" s="204"/>
      <c r="AF45" s="311">
        <v>12</v>
      </c>
      <c r="AG45" s="312">
        <f t="shared" si="4"/>
        <v>-0.14166666663562211</v>
      </c>
      <c r="AH45" s="313" t="e">
        <f t="shared" si="18"/>
        <v>#DIV/0!</v>
      </c>
      <c r="AI45" s="313" t="e">
        <f t="shared" si="19"/>
        <v>#DIV/0!</v>
      </c>
      <c r="AJ45" s="314" t="e">
        <f t="shared" si="6"/>
        <v>#DIV/0!</v>
      </c>
    </row>
    <row r="46" spans="4:36" x14ac:dyDescent="0.2">
      <c r="D46" s="222"/>
      <c r="E46" s="223"/>
      <c r="F46" s="224"/>
      <c r="G46" s="155"/>
      <c r="H46" s="155"/>
      <c r="I46" s="176"/>
      <c r="J46" s="156"/>
      <c r="K46" s="304" t="e">
        <f t="shared" si="0"/>
        <v>#DIV/0!</v>
      </c>
      <c r="L46" s="305" t="e">
        <f t="shared" si="1"/>
        <v>#DIV/0!</v>
      </c>
      <c r="M46" s="231" t="e">
        <f t="shared" si="2"/>
        <v>#DIV/0!</v>
      </c>
      <c r="N46" s="157"/>
      <c r="O46" s="157"/>
      <c r="P46" s="176"/>
      <c r="R46" s="238" t="e">
        <f t="shared" si="15"/>
        <v>#DIV/0!</v>
      </c>
      <c r="S46" s="239" t="e">
        <f t="shared" si="16"/>
        <v>#DIV/0!</v>
      </c>
      <c r="T46" s="240" t="e">
        <f t="shared" si="17"/>
        <v>#DIV/0!</v>
      </c>
      <c r="U46" s="157"/>
      <c r="V46" s="176"/>
      <c r="W46" s="316">
        <v>13</v>
      </c>
      <c r="X46" s="449" t="e">
        <f t="shared" si="7"/>
        <v>#DIV/0!</v>
      </c>
      <c r="Y46" s="446">
        <v>-0.14166666663562211</v>
      </c>
      <c r="AC46" s="204"/>
      <c r="AF46" s="311">
        <v>13</v>
      </c>
      <c r="AG46" s="312">
        <f t="shared" si="4"/>
        <v>-0.14166666663562211</v>
      </c>
      <c r="AH46" s="313" t="e">
        <f t="shared" si="18"/>
        <v>#DIV/0!</v>
      </c>
      <c r="AI46" s="313" t="e">
        <f t="shared" si="19"/>
        <v>#DIV/0!</v>
      </c>
      <c r="AJ46" s="314" t="e">
        <f t="shared" si="6"/>
        <v>#DIV/0!</v>
      </c>
    </row>
    <row r="47" spans="4:36" x14ac:dyDescent="0.2">
      <c r="D47" s="222"/>
      <c r="E47" s="223"/>
      <c r="F47" s="224"/>
      <c r="G47" s="155"/>
      <c r="H47" s="155"/>
      <c r="I47" s="176"/>
      <c r="J47" s="156"/>
      <c r="K47" s="304" t="e">
        <f t="shared" si="0"/>
        <v>#DIV/0!</v>
      </c>
      <c r="L47" s="305" t="e">
        <f t="shared" si="1"/>
        <v>#DIV/0!</v>
      </c>
      <c r="M47" s="231" t="e">
        <f t="shared" si="2"/>
        <v>#DIV/0!</v>
      </c>
      <c r="N47" s="157"/>
      <c r="O47" s="157"/>
      <c r="P47" s="176"/>
      <c r="R47" s="238" t="e">
        <f t="shared" si="15"/>
        <v>#DIV/0!</v>
      </c>
      <c r="S47" s="239" t="e">
        <f t="shared" si="16"/>
        <v>#DIV/0!</v>
      </c>
      <c r="T47" s="240" t="e">
        <f t="shared" si="17"/>
        <v>#DIV/0!</v>
      </c>
      <c r="U47" s="157"/>
      <c r="V47" s="176"/>
      <c r="W47" s="316">
        <v>14</v>
      </c>
      <c r="X47" s="449" t="e">
        <f t="shared" si="7"/>
        <v>#DIV/0!</v>
      </c>
      <c r="Y47" s="446">
        <v>-0.14166666663562211</v>
      </c>
      <c r="AC47" s="204"/>
      <c r="AF47" s="311">
        <v>14</v>
      </c>
      <c r="AG47" s="312">
        <f t="shared" si="4"/>
        <v>-0.14166666663562211</v>
      </c>
      <c r="AH47" s="313" t="e">
        <f t="shared" si="18"/>
        <v>#DIV/0!</v>
      </c>
      <c r="AI47" s="313" t="e">
        <f t="shared" si="19"/>
        <v>#DIV/0!</v>
      </c>
      <c r="AJ47" s="314" t="e">
        <f t="shared" si="6"/>
        <v>#DIV/0!</v>
      </c>
    </row>
    <row r="48" spans="4:36" ht="15.75" thickBot="1" x14ac:dyDescent="0.25">
      <c r="D48" s="225"/>
      <c r="E48" s="226"/>
      <c r="F48" s="227"/>
      <c r="G48" s="155"/>
      <c r="H48" s="155"/>
      <c r="I48" s="176"/>
      <c r="J48" s="156"/>
      <c r="K48" s="232" t="e">
        <f t="shared" si="0"/>
        <v>#DIV/0!</v>
      </c>
      <c r="L48" s="233" t="e">
        <f t="shared" si="1"/>
        <v>#DIV/0!</v>
      </c>
      <c r="M48" s="234" t="e">
        <f t="shared" si="2"/>
        <v>#DIV/0!</v>
      </c>
      <c r="N48" s="157"/>
      <c r="O48" s="157"/>
      <c r="P48" s="176"/>
      <c r="R48" s="241" t="e">
        <f t="shared" si="15"/>
        <v>#DIV/0!</v>
      </c>
      <c r="S48" s="242" t="e">
        <f t="shared" si="16"/>
        <v>#DIV/0!</v>
      </c>
      <c r="T48" s="243" t="e">
        <f t="shared" si="17"/>
        <v>#DIV/0!</v>
      </c>
      <c r="U48" s="157"/>
      <c r="V48" s="176"/>
      <c r="W48" s="316">
        <v>15</v>
      </c>
      <c r="X48" s="449" t="e">
        <f t="shared" si="7"/>
        <v>#DIV/0!</v>
      </c>
      <c r="Y48" s="446">
        <v>-0.14166666663562211</v>
      </c>
      <c r="AC48" s="204"/>
      <c r="AF48" s="311">
        <v>15</v>
      </c>
      <c r="AG48" s="312">
        <f t="shared" si="4"/>
        <v>-0.14166666663562211</v>
      </c>
      <c r="AH48" s="313" t="e">
        <f t="shared" si="18"/>
        <v>#DIV/0!</v>
      </c>
      <c r="AI48" s="313" t="e">
        <f t="shared" si="19"/>
        <v>#DIV/0!</v>
      </c>
      <c r="AJ48" s="314" t="e">
        <f t="shared" si="6"/>
        <v>#DIV/0!</v>
      </c>
    </row>
    <row r="49" spans="3:36" x14ac:dyDescent="0.2">
      <c r="C49" s="157"/>
      <c r="D49" s="157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  <c r="S49" s="157"/>
      <c r="T49" s="157"/>
      <c r="U49" s="157"/>
      <c r="V49" s="176"/>
      <c r="W49" s="316">
        <v>16</v>
      </c>
      <c r="X49" s="450" t="e">
        <f>L34</f>
        <v>#DIV/0!</v>
      </c>
      <c r="Y49" s="446">
        <v>-0.14166666663562211</v>
      </c>
      <c r="AC49" s="204"/>
      <c r="AF49" s="311">
        <v>16</v>
      </c>
      <c r="AG49" s="312">
        <f t="shared" ref="AG49:AG78" si="20">Y49</f>
        <v>-0.14166666663562211</v>
      </c>
      <c r="AH49" s="313" t="e">
        <f t="shared" si="18"/>
        <v>#DIV/0!</v>
      </c>
      <c r="AI49" s="313" t="e">
        <f t="shared" si="19"/>
        <v>#DIV/0!</v>
      </c>
      <c r="AJ49" s="314" t="e">
        <f t="shared" si="6"/>
        <v>#DIV/0!</v>
      </c>
    </row>
    <row r="50" spans="3:36" x14ac:dyDescent="0.2">
      <c r="U50" s="157"/>
      <c r="V50" s="176"/>
      <c r="W50" s="316">
        <v>17</v>
      </c>
      <c r="X50" s="450" t="e">
        <f t="shared" ref="X50:X63" si="21">L35</f>
        <v>#DIV/0!</v>
      </c>
      <c r="Y50" s="446">
        <v>-8.6666666666666003E-2</v>
      </c>
      <c r="AC50" s="204"/>
      <c r="AF50" s="311">
        <v>17</v>
      </c>
      <c r="AG50" s="312">
        <f t="shared" si="20"/>
        <v>-8.6666666666666003E-2</v>
      </c>
      <c r="AH50" s="313" t="e">
        <f t="shared" si="18"/>
        <v>#DIV/0!</v>
      </c>
      <c r="AI50" s="313" t="e">
        <f t="shared" si="19"/>
        <v>#DIV/0!</v>
      </c>
      <c r="AJ50" s="314" t="e">
        <f t="shared" si="6"/>
        <v>#DIV/0!</v>
      </c>
    </row>
    <row r="51" spans="3:36" x14ac:dyDescent="0.2">
      <c r="U51" s="157"/>
      <c r="V51" s="176"/>
      <c r="W51" s="316">
        <v>18</v>
      </c>
      <c r="X51" s="450" t="e">
        <f t="shared" si="21"/>
        <v>#DIV/0!</v>
      </c>
      <c r="Y51" s="446">
        <v>-8.6666666666666003E-2</v>
      </c>
      <c r="AC51" s="204"/>
      <c r="AF51" s="311">
        <v>18</v>
      </c>
      <c r="AG51" s="312">
        <f t="shared" si="20"/>
        <v>-8.6666666666666003E-2</v>
      </c>
      <c r="AH51" s="313" t="e">
        <f t="shared" si="18"/>
        <v>#DIV/0!</v>
      </c>
      <c r="AI51" s="313" t="e">
        <f t="shared" si="19"/>
        <v>#DIV/0!</v>
      </c>
      <c r="AJ51" s="314" t="e">
        <f t="shared" si="6"/>
        <v>#DIV/0!</v>
      </c>
    </row>
    <row r="52" spans="3:36" x14ac:dyDescent="0.2">
      <c r="U52" s="157"/>
      <c r="V52" s="176"/>
      <c r="W52" s="316">
        <v>19</v>
      </c>
      <c r="X52" s="450" t="e">
        <f t="shared" si="21"/>
        <v>#DIV/0!</v>
      </c>
      <c r="Y52" s="446">
        <v>-8.6666666666666003E-2</v>
      </c>
      <c r="AC52" s="204"/>
      <c r="AF52" s="311">
        <v>19</v>
      </c>
      <c r="AG52" s="312">
        <f t="shared" si="20"/>
        <v>-8.6666666666666003E-2</v>
      </c>
      <c r="AH52" s="313" t="e">
        <f t="shared" si="18"/>
        <v>#DIV/0!</v>
      </c>
      <c r="AI52" s="313" t="e">
        <f t="shared" si="19"/>
        <v>#DIV/0!</v>
      </c>
      <c r="AJ52" s="314" t="e">
        <f t="shared" si="6"/>
        <v>#DIV/0!</v>
      </c>
    </row>
    <row r="53" spans="3:36" ht="15.75" thickBot="1" x14ac:dyDescent="0.25">
      <c r="U53" s="157"/>
      <c r="V53" s="176"/>
      <c r="W53" s="316">
        <v>20</v>
      </c>
      <c r="X53" s="450" t="e">
        <f t="shared" si="21"/>
        <v>#DIV/0!</v>
      </c>
      <c r="Y53" s="446">
        <v>-8.6666666666666003E-2</v>
      </c>
      <c r="AC53" s="204"/>
      <c r="AF53" s="311">
        <v>20</v>
      </c>
      <c r="AG53" s="312">
        <f t="shared" si="20"/>
        <v>-8.6666666666666003E-2</v>
      </c>
      <c r="AH53" s="313" t="e">
        <f t="shared" si="18"/>
        <v>#DIV/0!</v>
      </c>
      <c r="AI53" s="313" t="e">
        <f t="shared" si="19"/>
        <v>#DIV/0!</v>
      </c>
      <c r="AJ53" s="314" t="e">
        <f t="shared" si="6"/>
        <v>#DIV/0!</v>
      </c>
    </row>
    <row r="54" spans="3:36" ht="16.5" thickBot="1" x14ac:dyDescent="0.25">
      <c r="H54" s="726" t="s">
        <v>13</v>
      </c>
      <c r="I54" s="727"/>
      <c r="J54" s="728"/>
      <c r="K54" s="473" t="e">
        <f>SUM(K34:K48)</f>
        <v>#DIV/0!</v>
      </c>
      <c r="L54" s="474" t="e">
        <f>SUM(L34:L48)</f>
        <v>#DIV/0!</v>
      </c>
      <c r="M54" s="475" t="e">
        <f>SUM(M34:M48)</f>
        <v>#DIV/0!</v>
      </c>
      <c r="U54" s="157"/>
      <c r="V54" s="176"/>
      <c r="W54" s="316">
        <v>21</v>
      </c>
      <c r="X54" s="450" t="e">
        <f t="shared" si="21"/>
        <v>#DIV/0!</v>
      </c>
      <c r="Y54" s="446">
        <v>-8.6666666666666003E-2</v>
      </c>
      <c r="AC54" s="204"/>
      <c r="AF54" s="311">
        <v>21</v>
      </c>
      <c r="AG54" s="312">
        <f t="shared" si="20"/>
        <v>-8.6666666666666003E-2</v>
      </c>
      <c r="AH54" s="313" t="e">
        <f t="shared" si="18"/>
        <v>#DIV/0!</v>
      </c>
      <c r="AI54" s="313" t="e">
        <f t="shared" si="19"/>
        <v>#DIV/0!</v>
      </c>
      <c r="AJ54" s="314" t="e">
        <f t="shared" si="6"/>
        <v>#DIV/0!</v>
      </c>
    </row>
    <row r="55" spans="3:36" x14ac:dyDescent="0.2">
      <c r="U55" s="157"/>
      <c r="V55" s="176"/>
      <c r="W55" s="316">
        <v>22</v>
      </c>
      <c r="X55" s="450" t="e">
        <f t="shared" si="21"/>
        <v>#DIV/0!</v>
      </c>
      <c r="Y55" s="446">
        <v>-8.6666666666666003E-2</v>
      </c>
      <c r="AC55" s="204"/>
      <c r="AF55" s="311">
        <v>22</v>
      </c>
      <c r="AG55" s="312">
        <f t="shared" si="20"/>
        <v>-8.6666666666666003E-2</v>
      </c>
      <c r="AH55" s="313" t="e">
        <f t="shared" si="18"/>
        <v>#DIV/0!</v>
      </c>
      <c r="AI55" s="313" t="e">
        <f t="shared" si="19"/>
        <v>#DIV/0!</v>
      </c>
      <c r="AJ55" s="314" t="e">
        <f t="shared" si="6"/>
        <v>#DIV/0!</v>
      </c>
    </row>
    <row r="56" spans="3:36" ht="15.75" thickBot="1" x14ac:dyDescent="0.25">
      <c r="U56" s="157"/>
      <c r="V56" s="176"/>
      <c r="W56" s="316">
        <v>23</v>
      </c>
      <c r="X56" s="450" t="e">
        <f t="shared" si="21"/>
        <v>#DIV/0!</v>
      </c>
      <c r="Y56" s="446">
        <v>-1.6666666635622107E-2</v>
      </c>
      <c r="AC56" s="204"/>
      <c r="AF56" s="311">
        <v>23</v>
      </c>
      <c r="AG56" s="312">
        <f t="shared" si="20"/>
        <v>-1.6666666635622107E-2</v>
      </c>
      <c r="AH56" s="313" t="e">
        <f t="shared" si="18"/>
        <v>#DIV/0!</v>
      </c>
      <c r="AI56" s="313" t="e">
        <f t="shared" si="19"/>
        <v>#DIV/0!</v>
      </c>
      <c r="AJ56" s="314" t="e">
        <f t="shared" si="6"/>
        <v>#DIV/0!</v>
      </c>
    </row>
    <row r="57" spans="3:36" ht="16.5" thickBot="1" x14ac:dyDescent="0.25">
      <c r="I57" s="253" t="s">
        <v>17</v>
      </c>
      <c r="J57" s="340" t="e">
        <f>+MAX(K34:K48)-MIN(K34:K48)</f>
        <v>#DIV/0!</v>
      </c>
      <c r="K57" s="340" t="e">
        <f t="shared" ref="K57:L57" si="22">+MAX(L34:L48)-MIN(L34:L48)</f>
        <v>#DIV/0!</v>
      </c>
      <c r="L57" s="340" t="e">
        <f t="shared" si="22"/>
        <v>#DIV/0!</v>
      </c>
      <c r="Q57" s="157"/>
      <c r="R57" s="157"/>
      <c r="S57" s="157"/>
      <c r="T57" s="157"/>
      <c r="U57" s="157"/>
      <c r="V57" s="176"/>
      <c r="W57" s="316">
        <v>24</v>
      </c>
      <c r="X57" s="450" t="e">
        <f t="shared" si="21"/>
        <v>#DIV/0!</v>
      </c>
      <c r="Y57" s="446">
        <v>-1.6666666635622107E-2</v>
      </c>
      <c r="AC57" s="204"/>
      <c r="AF57" s="311">
        <v>24</v>
      </c>
      <c r="AG57" s="312">
        <f t="shared" si="20"/>
        <v>-1.6666666635622107E-2</v>
      </c>
      <c r="AH57" s="313" t="e">
        <f t="shared" si="18"/>
        <v>#DIV/0!</v>
      </c>
      <c r="AI57" s="313" t="e">
        <f t="shared" si="19"/>
        <v>#DIV/0!</v>
      </c>
      <c r="AJ57" s="314" t="e">
        <f t="shared" si="6"/>
        <v>#DIV/0!</v>
      </c>
    </row>
    <row r="58" spans="3:36" ht="20.100000000000001" customHeight="1" thickBot="1" x14ac:dyDescent="0.25">
      <c r="U58" s="157"/>
      <c r="V58" s="176"/>
      <c r="W58" s="316">
        <v>25</v>
      </c>
      <c r="X58" s="450" t="e">
        <f t="shared" si="21"/>
        <v>#DIV/0!</v>
      </c>
      <c r="Y58" s="446">
        <v>-9.3130836376076331E-11</v>
      </c>
      <c r="AC58" s="204"/>
      <c r="AF58" s="311">
        <v>25</v>
      </c>
      <c r="AG58" s="312">
        <f t="shared" si="20"/>
        <v>-9.3130836376076331E-11</v>
      </c>
      <c r="AH58" s="313" t="e">
        <f t="shared" si="18"/>
        <v>#DIV/0!</v>
      </c>
      <c r="AI58" s="313" t="e">
        <f t="shared" si="19"/>
        <v>#DIV/0!</v>
      </c>
      <c r="AJ58" s="314" t="e">
        <f t="shared" si="6"/>
        <v>#DIV/0!</v>
      </c>
    </row>
    <row r="59" spans="3:36" ht="20.100000000000001" customHeight="1" x14ac:dyDescent="0.2">
      <c r="C59" s="336" t="s">
        <v>12</v>
      </c>
      <c r="D59" s="217" t="e">
        <f>AVERAGE(D34:D48)</f>
        <v>#DIV/0!</v>
      </c>
      <c r="E59" s="262" t="e">
        <f t="shared" ref="E59:F59" si="23">AVERAGE(E34:E48)</f>
        <v>#DIV/0!</v>
      </c>
      <c r="F59" s="456" t="e">
        <f t="shared" si="23"/>
        <v>#DIV/0!</v>
      </c>
      <c r="U59" s="157"/>
      <c r="V59" s="176"/>
      <c r="W59" s="316">
        <v>26</v>
      </c>
      <c r="X59" s="450" t="e">
        <f t="shared" si="21"/>
        <v>#DIV/0!</v>
      </c>
      <c r="Y59" s="446">
        <v>0.10833333336437789</v>
      </c>
      <c r="AC59" s="204"/>
      <c r="AF59" s="311">
        <v>26</v>
      </c>
      <c r="AG59" s="312">
        <f t="shared" si="20"/>
        <v>0.10833333336437789</v>
      </c>
      <c r="AH59" s="313" t="e">
        <f t="shared" si="18"/>
        <v>#DIV/0!</v>
      </c>
      <c r="AI59" s="313" t="e">
        <f t="shared" si="19"/>
        <v>#DIV/0!</v>
      </c>
      <c r="AJ59" s="314" t="e">
        <f t="shared" si="6"/>
        <v>#DIV/0!</v>
      </c>
    </row>
    <row r="60" spans="3:36" ht="20.100000000000001" customHeight="1" x14ac:dyDescent="0.2">
      <c r="C60" s="337" t="s">
        <v>14</v>
      </c>
      <c r="D60" s="182" t="e">
        <f>_xlfn.STDEV.S(D34:D48)</f>
        <v>#DIV/0!</v>
      </c>
      <c r="E60" s="185" t="e">
        <f t="shared" ref="E60:F60" si="24">_xlfn.STDEV.S(E34:E48)</f>
        <v>#DIV/0!</v>
      </c>
      <c r="F60" s="429" t="e">
        <f t="shared" si="24"/>
        <v>#DIV/0!</v>
      </c>
      <c r="U60" s="157"/>
      <c r="V60" s="176"/>
      <c r="W60" s="316">
        <v>27</v>
      </c>
      <c r="X60" s="450" t="e">
        <f t="shared" si="21"/>
        <v>#DIV/0!</v>
      </c>
      <c r="Y60" s="446">
        <v>0.10833333336437789</v>
      </c>
      <c r="AC60" s="204"/>
      <c r="AF60" s="311">
        <v>27</v>
      </c>
      <c r="AG60" s="312">
        <f t="shared" si="20"/>
        <v>0.10833333336437789</v>
      </c>
      <c r="AH60" s="313" t="e">
        <f t="shared" si="18"/>
        <v>#DIV/0!</v>
      </c>
      <c r="AI60" s="313" t="e">
        <f t="shared" si="19"/>
        <v>#DIV/0!</v>
      </c>
      <c r="AJ60" s="314" t="e">
        <f t="shared" si="6"/>
        <v>#DIV/0!</v>
      </c>
    </row>
    <row r="61" spans="3:36" ht="33" customHeight="1" thickBot="1" x14ac:dyDescent="0.25">
      <c r="C61" s="338" t="s">
        <v>162</v>
      </c>
      <c r="D61" s="183" t="e">
        <f>+D60/SQRT($W$26)</f>
        <v>#DIV/0!</v>
      </c>
      <c r="E61" s="184" t="e">
        <f>+E60/SQRT($W$26)</f>
        <v>#DIV/0!</v>
      </c>
      <c r="F61" s="201" t="e">
        <f>+F60/SQRT($W$26)</f>
        <v>#DIV/0!</v>
      </c>
      <c r="U61" s="157"/>
      <c r="V61" s="176"/>
      <c r="W61" s="316">
        <v>28</v>
      </c>
      <c r="X61" s="450" t="e">
        <f t="shared" si="21"/>
        <v>#DIV/0!</v>
      </c>
      <c r="Y61" s="446">
        <v>0.10833333336437789</v>
      </c>
      <c r="AC61" s="204"/>
      <c r="AF61" s="311">
        <v>28</v>
      </c>
      <c r="AG61" s="312">
        <f t="shared" si="20"/>
        <v>0.10833333336437789</v>
      </c>
      <c r="AH61" s="313" t="e">
        <f t="shared" si="18"/>
        <v>#DIV/0!</v>
      </c>
      <c r="AI61" s="313" t="e">
        <f t="shared" si="19"/>
        <v>#DIV/0!</v>
      </c>
      <c r="AJ61" s="314" t="e">
        <f t="shared" si="6"/>
        <v>#DIV/0!</v>
      </c>
    </row>
    <row r="62" spans="3:36" ht="35.450000000000003" customHeight="1" thickBot="1" x14ac:dyDescent="0.25">
      <c r="C62" s="337" t="s">
        <v>15</v>
      </c>
      <c r="D62" s="461" t="e">
        <f>(_xlfn.STDEV.S(D34:F48))/SQRT(W24-1)</f>
        <v>#DIV/0!</v>
      </c>
      <c r="E62" s="254"/>
      <c r="F62" s="255"/>
      <c r="U62" s="157"/>
      <c r="V62" s="176"/>
      <c r="W62" s="316">
        <v>29</v>
      </c>
      <c r="X62" s="450" t="e">
        <f t="shared" si="21"/>
        <v>#DIV/0!</v>
      </c>
      <c r="Y62" s="446">
        <v>0.11333333333333684</v>
      </c>
      <c r="AC62" s="204"/>
      <c r="AF62" s="311">
        <v>29</v>
      </c>
      <c r="AG62" s="312">
        <f t="shared" si="20"/>
        <v>0.11333333333333684</v>
      </c>
      <c r="AH62" s="313" t="e">
        <f t="shared" si="18"/>
        <v>#DIV/0!</v>
      </c>
      <c r="AI62" s="313" t="e">
        <f t="shared" si="19"/>
        <v>#DIV/0!</v>
      </c>
      <c r="AJ62" s="314" t="e">
        <f t="shared" si="6"/>
        <v>#DIV/0!</v>
      </c>
    </row>
    <row r="63" spans="3:36" ht="20.100000000000001" customHeight="1" thickBot="1" x14ac:dyDescent="0.25">
      <c r="C63" s="430" t="s">
        <v>0</v>
      </c>
      <c r="D63" s="458" t="e">
        <f>+D60/D59</f>
        <v>#DIV/0!</v>
      </c>
      <c r="E63" s="459" t="e">
        <f>+E60/E59</f>
        <v>#DIV/0!</v>
      </c>
      <c r="F63" s="460" t="e">
        <f>+F60/F59</f>
        <v>#DIV/0!</v>
      </c>
      <c r="U63" s="157"/>
      <c r="V63" s="176"/>
      <c r="W63" s="316">
        <v>30</v>
      </c>
      <c r="X63" s="450" t="e">
        <f t="shared" si="21"/>
        <v>#DIV/0!</v>
      </c>
      <c r="Y63" s="446">
        <v>0.11333333333333684</v>
      </c>
      <c r="AC63" s="204"/>
      <c r="AF63" s="311">
        <v>30</v>
      </c>
      <c r="AG63" s="312">
        <f t="shared" si="20"/>
        <v>0.11333333333333684</v>
      </c>
      <c r="AH63" s="313" t="e">
        <f t="shared" si="18"/>
        <v>#DIV/0!</v>
      </c>
      <c r="AI63" s="313" t="e">
        <f t="shared" si="19"/>
        <v>#DIV/0!</v>
      </c>
      <c r="AJ63" s="314" t="e">
        <f t="shared" si="6"/>
        <v>#DIV/0!</v>
      </c>
    </row>
    <row r="64" spans="3:36" ht="20.100000000000001" customHeight="1" x14ac:dyDescent="0.2">
      <c r="C64" s="337" t="s">
        <v>16</v>
      </c>
      <c r="D64" s="457" t="e">
        <f>AVERAGE(D59:F59)</f>
        <v>#DIV/0!</v>
      </c>
      <c r="E64" s="254"/>
      <c r="F64" s="254"/>
      <c r="U64" s="157"/>
      <c r="V64" s="176"/>
      <c r="W64" s="316">
        <v>31</v>
      </c>
      <c r="X64" s="449" t="e">
        <f>M34</f>
        <v>#DIV/0!</v>
      </c>
      <c r="Y64" s="446">
        <v>0.11333333333333684</v>
      </c>
      <c r="AC64" s="204"/>
      <c r="AF64" s="311">
        <v>31</v>
      </c>
      <c r="AG64" s="312">
        <f t="shared" si="20"/>
        <v>0.11333333333333684</v>
      </c>
      <c r="AH64" s="313" t="e">
        <f t="shared" si="18"/>
        <v>#DIV/0!</v>
      </c>
      <c r="AI64" s="313" t="e">
        <f t="shared" si="19"/>
        <v>#DIV/0!</v>
      </c>
      <c r="AJ64" s="314" t="e">
        <f t="shared" si="6"/>
        <v>#DIV/0!</v>
      </c>
    </row>
    <row r="65" spans="3:36" ht="20.100000000000001" customHeight="1" x14ac:dyDescent="0.2">
      <c r="C65" s="337" t="s">
        <v>14</v>
      </c>
      <c r="D65" s="431" t="e">
        <f>_xlfn.STDEV.S(D34:F42)</f>
        <v>#DIV/0!</v>
      </c>
      <c r="E65" s="254"/>
      <c r="F65" s="254"/>
      <c r="U65" s="157"/>
      <c r="V65" s="176"/>
      <c r="W65" s="316">
        <v>32</v>
      </c>
      <c r="X65" s="449" t="e">
        <f t="shared" ref="X65:X78" si="25">M35</f>
        <v>#DIV/0!</v>
      </c>
      <c r="Y65" s="446">
        <v>0.11333333333333684</v>
      </c>
      <c r="AC65" s="204"/>
      <c r="AF65" s="311">
        <v>32</v>
      </c>
      <c r="AG65" s="312">
        <f t="shared" si="20"/>
        <v>0.11333333333333684</v>
      </c>
      <c r="AH65" s="313" t="e">
        <f t="shared" si="18"/>
        <v>#DIV/0!</v>
      </c>
      <c r="AI65" s="313" t="e">
        <f t="shared" si="19"/>
        <v>#DIV/0!</v>
      </c>
      <c r="AJ65" s="314" t="e">
        <f t="shared" si="6"/>
        <v>#DIV/0!</v>
      </c>
    </row>
    <row r="66" spans="3:36" ht="20.100000000000001" customHeight="1" thickBot="1" x14ac:dyDescent="0.25">
      <c r="C66" s="342" t="s">
        <v>0</v>
      </c>
      <c r="D66" s="432" t="e">
        <f>+D65/D64</f>
        <v>#DIV/0!</v>
      </c>
      <c r="E66" s="254"/>
      <c r="F66" s="254"/>
      <c r="U66" s="157"/>
      <c r="V66" s="176"/>
      <c r="W66" s="316">
        <v>33</v>
      </c>
      <c r="X66" s="449" t="e">
        <f t="shared" si="25"/>
        <v>#DIV/0!</v>
      </c>
      <c r="Y66" s="446">
        <v>0.11333333333333684</v>
      </c>
      <c r="AC66" s="204"/>
      <c r="AF66" s="311">
        <v>33</v>
      </c>
      <c r="AG66" s="312">
        <f t="shared" si="20"/>
        <v>0.11333333333333684</v>
      </c>
      <c r="AH66" s="313" t="e">
        <f t="shared" si="18"/>
        <v>#DIV/0!</v>
      </c>
      <c r="AI66" s="313" t="e">
        <f t="shared" si="19"/>
        <v>#DIV/0!</v>
      </c>
      <c r="AJ66" s="314" t="e">
        <f t="shared" si="6"/>
        <v>#DIV/0!</v>
      </c>
    </row>
    <row r="67" spans="3:36" ht="15.75" thickBot="1" x14ac:dyDescent="0.25">
      <c r="U67" s="157"/>
      <c r="V67" s="176"/>
      <c r="W67" s="316">
        <v>34</v>
      </c>
      <c r="X67" s="449" t="e">
        <f t="shared" si="25"/>
        <v>#DIV/0!</v>
      </c>
      <c r="Y67" s="446">
        <v>0.12500000002328449</v>
      </c>
      <c r="AC67" s="204"/>
      <c r="AF67" s="311">
        <v>34</v>
      </c>
      <c r="AG67" s="312">
        <f t="shared" si="20"/>
        <v>0.12500000002328449</v>
      </c>
      <c r="AH67" s="313" t="e">
        <f t="shared" si="18"/>
        <v>#DIV/0!</v>
      </c>
      <c r="AI67" s="313" t="e">
        <f t="shared" si="19"/>
        <v>#DIV/0!</v>
      </c>
      <c r="AJ67" s="314" t="e">
        <f t="shared" si="6"/>
        <v>#DIV/0!</v>
      </c>
    </row>
    <row r="68" spans="3:36" ht="15.95" customHeight="1" thickBot="1" x14ac:dyDescent="0.25">
      <c r="D68" s="343" t="s">
        <v>8</v>
      </c>
      <c r="E68" s="344" t="s">
        <v>9</v>
      </c>
      <c r="F68" s="345" t="s">
        <v>10</v>
      </c>
      <c r="J68" s="603" t="s">
        <v>18</v>
      </c>
      <c r="K68" s="346" t="s">
        <v>8</v>
      </c>
      <c r="L68" s="344" t="s">
        <v>9</v>
      </c>
      <c r="M68" s="345" t="s">
        <v>10</v>
      </c>
      <c r="R68" s="603" t="s">
        <v>19</v>
      </c>
      <c r="S68" s="346" t="s">
        <v>8</v>
      </c>
      <c r="T68" s="344" t="s">
        <v>9</v>
      </c>
      <c r="U68" s="345" t="s">
        <v>10</v>
      </c>
      <c r="V68" s="176"/>
      <c r="W68" s="316">
        <v>35</v>
      </c>
      <c r="X68" s="449" t="e">
        <f t="shared" si="25"/>
        <v>#DIV/0!</v>
      </c>
      <c r="Y68" s="446">
        <v>0.12500000002328449</v>
      </c>
      <c r="AC68" s="204"/>
      <c r="AF68" s="311">
        <v>35</v>
      </c>
      <c r="AG68" s="312">
        <f t="shared" si="20"/>
        <v>0.12500000002328449</v>
      </c>
      <c r="AH68" s="313" t="e">
        <f t="shared" si="18"/>
        <v>#DIV/0!</v>
      </c>
      <c r="AI68" s="313" t="e">
        <f t="shared" si="19"/>
        <v>#DIV/0!</v>
      </c>
      <c r="AJ68" s="314" t="e">
        <f t="shared" si="6"/>
        <v>#DIV/0!</v>
      </c>
    </row>
    <row r="69" spans="3:36" ht="15.6" customHeight="1" x14ac:dyDescent="0.2">
      <c r="D69" s="434">
        <f t="shared" ref="D69:F72" si="26">+D34</f>
        <v>0</v>
      </c>
      <c r="E69" s="435">
        <f t="shared" si="26"/>
        <v>0</v>
      </c>
      <c r="F69" s="436">
        <f t="shared" si="26"/>
        <v>0</v>
      </c>
      <c r="J69" s="604"/>
      <c r="K69" s="256" t="e">
        <f t="shared" ref="K69:K77" si="27">+$D$59</f>
        <v>#DIV/0!</v>
      </c>
      <c r="L69" s="257" t="e">
        <f t="shared" ref="L69:L77" si="28">+$E$59</f>
        <v>#DIV/0!</v>
      </c>
      <c r="M69" s="258" t="e">
        <f t="shared" ref="M69:M77" si="29">+$F$59</f>
        <v>#DIV/0!</v>
      </c>
      <c r="R69" s="604"/>
      <c r="S69" s="235" t="e">
        <f t="shared" ref="S69:S77" si="30">+K34</f>
        <v>#DIV/0!</v>
      </c>
      <c r="T69" s="236" t="e">
        <f t="shared" ref="T69:T77" si="31">+L34</f>
        <v>#DIV/0!</v>
      </c>
      <c r="U69" s="237" t="e">
        <f t="shared" ref="U69:U77" si="32">+M34</f>
        <v>#DIV/0!</v>
      </c>
      <c r="V69" s="176"/>
      <c r="W69" s="316">
        <v>36</v>
      </c>
      <c r="X69" s="449" t="e">
        <f t="shared" si="25"/>
        <v>#DIV/0!</v>
      </c>
      <c r="Y69" s="446">
        <v>0.21333333333333115</v>
      </c>
      <c r="AC69" s="204"/>
      <c r="AF69" s="311">
        <v>36</v>
      </c>
      <c r="AG69" s="312">
        <f t="shared" si="20"/>
        <v>0.21333333333333115</v>
      </c>
      <c r="AH69" s="313" t="e">
        <f t="shared" si="18"/>
        <v>#DIV/0!</v>
      </c>
      <c r="AI69" s="313" t="e">
        <f t="shared" si="19"/>
        <v>#DIV/0!</v>
      </c>
      <c r="AJ69" s="314" t="e">
        <f t="shared" si="6"/>
        <v>#DIV/0!</v>
      </c>
    </row>
    <row r="70" spans="3:36" ht="15.6" customHeight="1" x14ac:dyDescent="0.2">
      <c r="D70" s="437">
        <f t="shared" si="26"/>
        <v>0</v>
      </c>
      <c r="E70" s="438">
        <f t="shared" si="26"/>
        <v>0</v>
      </c>
      <c r="F70" s="433">
        <f t="shared" si="26"/>
        <v>0</v>
      </c>
      <c r="J70" s="604"/>
      <c r="K70" s="259" t="e">
        <f t="shared" si="27"/>
        <v>#DIV/0!</v>
      </c>
      <c r="L70" s="260" t="e">
        <f t="shared" si="28"/>
        <v>#DIV/0!</v>
      </c>
      <c r="M70" s="261" t="e">
        <f t="shared" si="29"/>
        <v>#DIV/0!</v>
      </c>
      <c r="R70" s="604"/>
      <c r="S70" s="238" t="e">
        <f t="shared" si="30"/>
        <v>#DIV/0!</v>
      </c>
      <c r="T70" s="239" t="e">
        <f t="shared" si="31"/>
        <v>#DIV/0!</v>
      </c>
      <c r="U70" s="240" t="e">
        <f t="shared" si="32"/>
        <v>#DIV/0!</v>
      </c>
      <c r="V70" s="176"/>
      <c r="W70" s="316">
        <v>37</v>
      </c>
      <c r="X70" s="449" t="e">
        <f t="shared" si="25"/>
        <v>#DIV/0!</v>
      </c>
      <c r="Y70" s="446">
        <v>0.21333333333333115</v>
      </c>
      <c r="AC70" s="204"/>
      <c r="AF70" s="311">
        <v>37</v>
      </c>
      <c r="AG70" s="312">
        <f t="shared" si="20"/>
        <v>0.21333333333333115</v>
      </c>
      <c r="AH70" s="313" t="e">
        <f t="shared" si="18"/>
        <v>#DIV/0!</v>
      </c>
      <c r="AI70" s="313" t="e">
        <f t="shared" si="19"/>
        <v>#DIV/0!</v>
      </c>
      <c r="AJ70" s="314" t="e">
        <f t="shared" si="6"/>
        <v>#DIV/0!</v>
      </c>
    </row>
    <row r="71" spans="3:36" ht="15.6" customHeight="1" x14ac:dyDescent="0.2">
      <c r="D71" s="437">
        <f t="shared" si="26"/>
        <v>0</v>
      </c>
      <c r="E71" s="438">
        <f t="shared" si="26"/>
        <v>0</v>
      </c>
      <c r="F71" s="433">
        <f t="shared" si="26"/>
        <v>0</v>
      </c>
      <c r="J71" s="604"/>
      <c r="K71" s="259" t="e">
        <f t="shared" si="27"/>
        <v>#DIV/0!</v>
      </c>
      <c r="L71" s="260" t="e">
        <f t="shared" si="28"/>
        <v>#DIV/0!</v>
      </c>
      <c r="M71" s="261" t="e">
        <f t="shared" si="29"/>
        <v>#DIV/0!</v>
      </c>
      <c r="R71" s="604"/>
      <c r="S71" s="238" t="e">
        <f t="shared" si="30"/>
        <v>#DIV/0!</v>
      </c>
      <c r="T71" s="239" t="e">
        <f t="shared" si="31"/>
        <v>#DIV/0!</v>
      </c>
      <c r="U71" s="240" t="e">
        <f t="shared" si="32"/>
        <v>#DIV/0!</v>
      </c>
      <c r="V71" s="176"/>
      <c r="W71" s="316">
        <v>38</v>
      </c>
      <c r="X71" s="449" t="e">
        <f t="shared" si="25"/>
        <v>#DIV/0!</v>
      </c>
      <c r="Y71" s="446">
        <v>0.23333333324796257</v>
      </c>
      <c r="AC71" s="204"/>
      <c r="AF71" s="311">
        <v>38</v>
      </c>
      <c r="AG71" s="312">
        <f t="shared" si="20"/>
        <v>0.23333333324796257</v>
      </c>
      <c r="AH71" s="313" t="e">
        <f t="shared" si="18"/>
        <v>#DIV/0!</v>
      </c>
      <c r="AI71" s="313" t="e">
        <f t="shared" si="19"/>
        <v>#DIV/0!</v>
      </c>
      <c r="AJ71" s="314" t="e">
        <f t="shared" si="6"/>
        <v>#DIV/0!</v>
      </c>
    </row>
    <row r="72" spans="3:36" ht="15.6" customHeight="1" x14ac:dyDescent="0.2">
      <c r="D72" s="437">
        <f t="shared" si="26"/>
        <v>0</v>
      </c>
      <c r="E72" s="438">
        <f t="shared" si="26"/>
        <v>0</v>
      </c>
      <c r="F72" s="433">
        <f t="shared" si="26"/>
        <v>0</v>
      </c>
      <c r="J72" s="604"/>
      <c r="K72" s="259" t="e">
        <f t="shared" si="27"/>
        <v>#DIV/0!</v>
      </c>
      <c r="L72" s="260" t="e">
        <f t="shared" si="28"/>
        <v>#DIV/0!</v>
      </c>
      <c r="M72" s="261" t="e">
        <f t="shared" si="29"/>
        <v>#DIV/0!</v>
      </c>
      <c r="R72" s="604"/>
      <c r="S72" s="238" t="e">
        <f t="shared" si="30"/>
        <v>#DIV/0!</v>
      </c>
      <c r="T72" s="239" t="e">
        <f t="shared" si="31"/>
        <v>#DIV/0!</v>
      </c>
      <c r="U72" s="240" t="e">
        <f t="shared" si="32"/>
        <v>#DIV/0!</v>
      </c>
      <c r="V72" s="176"/>
      <c r="W72" s="316">
        <v>39</v>
      </c>
      <c r="X72" s="449" t="e">
        <f t="shared" si="25"/>
        <v>#DIV/0!</v>
      </c>
      <c r="Y72" s="446">
        <v>0.25000000002328449</v>
      </c>
      <c r="AC72" s="204"/>
      <c r="AF72" s="311">
        <v>39</v>
      </c>
      <c r="AG72" s="312">
        <f t="shared" si="20"/>
        <v>0.25000000002328449</v>
      </c>
      <c r="AH72" s="313" t="e">
        <f t="shared" si="18"/>
        <v>#DIV/0!</v>
      </c>
      <c r="AI72" s="313" t="e">
        <f t="shared" si="19"/>
        <v>#DIV/0!</v>
      </c>
      <c r="AJ72" s="314" t="e">
        <f t="shared" si="6"/>
        <v>#DIV/0!</v>
      </c>
    </row>
    <row r="73" spans="3:36" ht="15.6" customHeight="1" x14ac:dyDescent="0.2">
      <c r="C73" s="157"/>
      <c r="D73" s="437">
        <f>+D38</f>
        <v>0</v>
      </c>
      <c r="E73" s="438">
        <f>E38</f>
        <v>0</v>
      </c>
      <c r="F73" s="433">
        <f>+F38</f>
        <v>0</v>
      </c>
      <c r="G73" s="155"/>
      <c r="H73" s="157"/>
      <c r="I73" s="157"/>
      <c r="J73" s="604"/>
      <c r="K73" s="259" t="e">
        <f t="shared" si="27"/>
        <v>#DIV/0!</v>
      </c>
      <c r="L73" s="260" t="e">
        <f t="shared" si="28"/>
        <v>#DIV/0!</v>
      </c>
      <c r="M73" s="261" t="e">
        <f t="shared" si="29"/>
        <v>#DIV/0!</v>
      </c>
      <c r="N73" s="157"/>
      <c r="O73" s="157"/>
      <c r="P73" s="157"/>
      <c r="Q73" s="157"/>
      <c r="R73" s="604"/>
      <c r="S73" s="238" t="e">
        <f t="shared" si="30"/>
        <v>#DIV/0!</v>
      </c>
      <c r="T73" s="239" t="e">
        <f t="shared" si="31"/>
        <v>#DIV/0!</v>
      </c>
      <c r="U73" s="240" t="e">
        <f t="shared" si="32"/>
        <v>#DIV/0!</v>
      </c>
      <c r="V73" s="176"/>
      <c r="W73" s="316">
        <v>40</v>
      </c>
      <c r="X73" s="449" t="e">
        <f t="shared" si="25"/>
        <v>#DIV/0!</v>
      </c>
      <c r="Y73" s="446">
        <v>0.35833333324796257</v>
      </c>
      <c r="AC73" s="204"/>
      <c r="AF73" s="311">
        <v>40</v>
      </c>
      <c r="AG73" s="312">
        <f t="shared" si="20"/>
        <v>0.35833333324796257</v>
      </c>
      <c r="AH73" s="313" t="e">
        <f t="shared" si="18"/>
        <v>#DIV/0!</v>
      </c>
      <c r="AI73" s="313" t="e">
        <f t="shared" si="19"/>
        <v>#DIV/0!</v>
      </c>
      <c r="AJ73" s="314" t="e">
        <f t="shared" si="6"/>
        <v>#DIV/0!</v>
      </c>
    </row>
    <row r="74" spans="3:36" ht="20.100000000000001" customHeight="1" x14ac:dyDescent="0.2">
      <c r="D74" s="437">
        <f>+D39</f>
        <v>0</v>
      </c>
      <c r="E74" s="438">
        <f>+E39</f>
        <v>0</v>
      </c>
      <c r="F74" s="433">
        <f>+F39</f>
        <v>0</v>
      </c>
      <c r="G74" s="155"/>
      <c r="J74" s="604"/>
      <c r="K74" s="259" t="e">
        <f t="shared" si="27"/>
        <v>#DIV/0!</v>
      </c>
      <c r="L74" s="260" t="e">
        <f t="shared" si="28"/>
        <v>#DIV/0!</v>
      </c>
      <c r="M74" s="261" t="e">
        <f t="shared" si="29"/>
        <v>#DIV/0!</v>
      </c>
      <c r="N74" s="157"/>
      <c r="O74" s="158"/>
      <c r="P74" s="158"/>
      <c r="R74" s="604"/>
      <c r="S74" s="238" t="e">
        <f t="shared" si="30"/>
        <v>#DIV/0!</v>
      </c>
      <c r="T74" s="239" t="e">
        <f t="shared" si="31"/>
        <v>#DIV/0!</v>
      </c>
      <c r="U74" s="240" t="e">
        <f t="shared" si="32"/>
        <v>#DIV/0!</v>
      </c>
      <c r="V74" s="160"/>
      <c r="W74" s="316">
        <v>41</v>
      </c>
      <c r="X74" s="449" t="e">
        <f t="shared" si="25"/>
        <v>#DIV/0!</v>
      </c>
      <c r="Y74" s="446">
        <v>0.48333333336437789</v>
      </c>
      <c r="AF74" s="311">
        <v>41</v>
      </c>
      <c r="AG74" s="312">
        <f t="shared" si="20"/>
        <v>0.48333333336437789</v>
      </c>
      <c r="AH74" s="313" t="e">
        <f t="shared" si="18"/>
        <v>#DIV/0!</v>
      </c>
      <c r="AI74" s="313" t="e">
        <f t="shared" si="19"/>
        <v>#DIV/0!</v>
      </c>
      <c r="AJ74" s="314" t="e">
        <f t="shared" si="6"/>
        <v>#DIV/0!</v>
      </c>
    </row>
    <row r="75" spans="3:36" ht="20.100000000000001" customHeight="1" x14ac:dyDescent="0.2">
      <c r="D75" s="437">
        <f>+D40</f>
        <v>0</v>
      </c>
      <c r="E75" s="438">
        <f>+E40</f>
        <v>0</v>
      </c>
      <c r="F75" s="433">
        <f>+F40</f>
        <v>0</v>
      </c>
      <c r="G75" s="155"/>
      <c r="H75" s="158"/>
      <c r="I75" s="158"/>
      <c r="J75" s="604"/>
      <c r="K75" s="259" t="e">
        <f t="shared" si="27"/>
        <v>#DIV/0!</v>
      </c>
      <c r="L75" s="260" t="e">
        <f t="shared" si="28"/>
        <v>#DIV/0!</v>
      </c>
      <c r="M75" s="261" t="e">
        <f t="shared" si="29"/>
        <v>#DIV/0!</v>
      </c>
      <c r="N75" s="157"/>
      <c r="O75" s="160"/>
      <c r="P75" s="160"/>
      <c r="R75" s="604"/>
      <c r="S75" s="238" t="e">
        <f t="shared" si="30"/>
        <v>#DIV/0!</v>
      </c>
      <c r="T75" s="239" t="e">
        <f t="shared" si="31"/>
        <v>#DIV/0!</v>
      </c>
      <c r="U75" s="240" t="e">
        <f t="shared" si="32"/>
        <v>#DIV/0!</v>
      </c>
      <c r="V75" s="160"/>
      <c r="W75" s="316">
        <v>42</v>
      </c>
      <c r="X75" s="449" t="e">
        <f t="shared" si="25"/>
        <v>#DIV/0!</v>
      </c>
      <c r="Y75" s="446">
        <v>0.49999999990686916</v>
      </c>
      <c r="AF75" s="311">
        <v>42</v>
      </c>
      <c r="AG75" s="312">
        <f t="shared" si="20"/>
        <v>0.49999999990686916</v>
      </c>
      <c r="AH75" s="313" t="e">
        <f t="shared" si="18"/>
        <v>#DIV/0!</v>
      </c>
      <c r="AI75" s="313" t="e">
        <f t="shared" si="19"/>
        <v>#DIV/0!</v>
      </c>
      <c r="AJ75" s="314" t="e">
        <f t="shared" si="6"/>
        <v>#DIV/0!</v>
      </c>
    </row>
    <row r="76" spans="3:36" ht="26.25" customHeight="1" x14ac:dyDescent="0.2">
      <c r="D76" s="437">
        <f>+D41</f>
        <v>0</v>
      </c>
      <c r="E76" s="438">
        <f>+E41</f>
        <v>0</v>
      </c>
      <c r="F76" s="433">
        <f>+F41</f>
        <v>0</v>
      </c>
      <c r="G76" s="155"/>
      <c r="H76" s="176"/>
      <c r="I76" s="176"/>
      <c r="J76" s="604"/>
      <c r="K76" s="259" t="e">
        <f t="shared" si="27"/>
        <v>#DIV/0!</v>
      </c>
      <c r="L76" s="260" t="e">
        <f t="shared" si="28"/>
        <v>#DIV/0!</v>
      </c>
      <c r="M76" s="261" t="e">
        <f t="shared" si="29"/>
        <v>#DIV/0!</v>
      </c>
      <c r="N76" s="157"/>
      <c r="O76" s="160"/>
      <c r="P76" s="160"/>
      <c r="R76" s="604"/>
      <c r="S76" s="238" t="e">
        <f t="shared" si="30"/>
        <v>#DIV/0!</v>
      </c>
      <c r="T76" s="239" t="e">
        <f t="shared" si="31"/>
        <v>#DIV/0!</v>
      </c>
      <c r="U76" s="240" t="e">
        <f t="shared" si="32"/>
        <v>#DIV/0!</v>
      </c>
      <c r="V76" s="160"/>
      <c r="W76" s="316">
        <v>43</v>
      </c>
      <c r="X76" s="449" t="e">
        <f t="shared" si="25"/>
        <v>#DIV/0!</v>
      </c>
      <c r="Y76" s="446">
        <v>0.75000000002328449</v>
      </c>
      <c r="AF76" s="311">
        <v>43</v>
      </c>
      <c r="AG76" s="312">
        <f t="shared" si="20"/>
        <v>0.75000000002328449</v>
      </c>
      <c r="AH76" s="313" t="e">
        <f t="shared" si="18"/>
        <v>#DIV/0!</v>
      </c>
      <c r="AI76" s="313" t="e">
        <f t="shared" si="19"/>
        <v>#DIV/0!</v>
      </c>
      <c r="AJ76" s="314" t="e">
        <f t="shared" si="6"/>
        <v>#DIV/0!</v>
      </c>
    </row>
    <row r="77" spans="3:36" ht="20.100000000000001" customHeight="1" x14ac:dyDescent="0.2">
      <c r="D77" s="437">
        <f>+D42</f>
        <v>0</v>
      </c>
      <c r="E77" s="438">
        <f>+E42</f>
        <v>0</v>
      </c>
      <c r="F77" s="433">
        <f>+F42</f>
        <v>0</v>
      </c>
      <c r="G77" s="155"/>
      <c r="H77" s="160"/>
      <c r="I77" s="160"/>
      <c r="J77" s="604"/>
      <c r="K77" s="259" t="e">
        <f t="shared" si="27"/>
        <v>#DIV/0!</v>
      </c>
      <c r="L77" s="260" t="e">
        <f t="shared" si="28"/>
        <v>#DIV/0!</v>
      </c>
      <c r="M77" s="261" t="e">
        <f t="shared" si="29"/>
        <v>#DIV/0!</v>
      </c>
      <c r="N77" s="157"/>
      <c r="O77" s="160"/>
      <c r="P77" s="160"/>
      <c r="R77" s="604"/>
      <c r="S77" s="238" t="e">
        <f t="shared" si="30"/>
        <v>#DIV/0!</v>
      </c>
      <c r="T77" s="239" t="e">
        <f t="shared" si="31"/>
        <v>#DIV/0!</v>
      </c>
      <c r="U77" s="240" t="e">
        <f t="shared" si="32"/>
        <v>#DIV/0!</v>
      </c>
      <c r="V77" s="160"/>
      <c r="W77" s="316">
        <v>44</v>
      </c>
      <c r="X77" s="449" t="e">
        <f t="shared" si="25"/>
        <v>#DIV/0!</v>
      </c>
      <c r="Y77" s="446">
        <v>0.87500000002328449</v>
      </c>
      <c r="AF77" s="311">
        <v>44</v>
      </c>
      <c r="AG77" s="312">
        <f t="shared" si="20"/>
        <v>0.87500000002328449</v>
      </c>
      <c r="AH77" s="313" t="e">
        <f t="shared" si="18"/>
        <v>#DIV/0!</v>
      </c>
      <c r="AI77" s="313" t="e">
        <f t="shared" si="19"/>
        <v>#DIV/0!</v>
      </c>
      <c r="AJ77" s="314" t="e">
        <f t="shared" si="6"/>
        <v>#DIV/0!</v>
      </c>
    </row>
    <row r="78" spans="3:36" ht="20.100000000000001" customHeight="1" thickBot="1" x14ac:dyDescent="0.25">
      <c r="D78" s="437">
        <f t="shared" ref="D78:F78" si="33">+D43</f>
        <v>0</v>
      </c>
      <c r="E78" s="438">
        <f t="shared" si="33"/>
        <v>0</v>
      </c>
      <c r="F78" s="433">
        <f t="shared" si="33"/>
        <v>0</v>
      </c>
      <c r="G78" s="155"/>
      <c r="H78" s="162"/>
      <c r="I78" s="162"/>
      <c r="J78" s="604"/>
      <c r="K78" s="259" t="e">
        <f t="shared" ref="K78:K83" si="34">+$D$59</f>
        <v>#DIV/0!</v>
      </c>
      <c r="L78" s="260" t="e">
        <f t="shared" ref="L78:L83" si="35">+$E$59</f>
        <v>#DIV/0!</v>
      </c>
      <c r="M78" s="261" t="e">
        <f t="shared" ref="M78:M83" si="36">+$F$59</f>
        <v>#DIV/0!</v>
      </c>
      <c r="N78" s="157"/>
      <c r="O78" s="160"/>
      <c r="P78" s="160"/>
      <c r="R78" s="604"/>
      <c r="S78" s="238" t="e">
        <f t="shared" ref="S78:U78" si="37">+K43</f>
        <v>#DIV/0!</v>
      </c>
      <c r="T78" s="239" t="e">
        <f t="shared" si="37"/>
        <v>#DIV/0!</v>
      </c>
      <c r="U78" s="240" t="e">
        <f t="shared" si="37"/>
        <v>#DIV/0!</v>
      </c>
      <c r="V78" s="160"/>
      <c r="W78" s="317">
        <v>45</v>
      </c>
      <c r="X78" s="455" t="e">
        <f t="shared" si="25"/>
        <v>#DIV/0!</v>
      </c>
      <c r="Y78" s="447">
        <v>0.87500000002328449</v>
      </c>
      <c r="AF78" s="311">
        <v>45</v>
      </c>
      <c r="AG78" s="312">
        <f t="shared" si="20"/>
        <v>0.87500000002328449</v>
      </c>
      <c r="AH78" s="313" t="e">
        <f t="shared" si="18"/>
        <v>#DIV/0!</v>
      </c>
      <c r="AI78" s="313" t="e">
        <f t="shared" si="19"/>
        <v>#DIV/0!</v>
      </c>
      <c r="AJ78" s="314" t="e">
        <f t="shared" si="6"/>
        <v>#DIV/0!</v>
      </c>
    </row>
    <row r="79" spans="3:36" ht="20.100000000000001" customHeight="1" x14ac:dyDescent="0.25">
      <c r="D79" s="437">
        <f t="shared" ref="D79:F79" si="38">+D44</f>
        <v>0</v>
      </c>
      <c r="E79" s="438">
        <f t="shared" si="38"/>
        <v>0</v>
      </c>
      <c r="F79" s="433">
        <f t="shared" si="38"/>
        <v>0</v>
      </c>
      <c r="G79" s="155"/>
      <c r="H79" s="161"/>
      <c r="I79" s="161"/>
      <c r="J79" s="604"/>
      <c r="K79" s="259" t="e">
        <f t="shared" si="34"/>
        <v>#DIV/0!</v>
      </c>
      <c r="L79" s="260" t="e">
        <f t="shared" si="35"/>
        <v>#DIV/0!</v>
      </c>
      <c r="M79" s="261" t="e">
        <f t="shared" si="36"/>
        <v>#DIV/0!</v>
      </c>
      <c r="N79" s="157"/>
      <c r="O79" s="341"/>
      <c r="P79" s="341"/>
      <c r="R79" s="604"/>
      <c r="S79" s="238" t="e">
        <f t="shared" ref="S79:U79" si="39">+K44</f>
        <v>#DIV/0!</v>
      </c>
      <c r="T79" s="239" t="e">
        <f t="shared" si="39"/>
        <v>#DIV/0!</v>
      </c>
      <c r="U79" s="240" t="e">
        <f t="shared" si="39"/>
        <v>#DIV/0!</v>
      </c>
      <c r="V79" s="161"/>
      <c r="AF79" s="311"/>
      <c r="AG79" s="312"/>
      <c r="AH79" s="313"/>
      <c r="AI79" s="313"/>
      <c r="AJ79" s="314"/>
    </row>
    <row r="80" spans="3:36" ht="20.100000000000001" customHeight="1" x14ac:dyDescent="0.2">
      <c r="D80" s="437">
        <f t="shared" ref="D80:F80" si="40">+D45</f>
        <v>0</v>
      </c>
      <c r="E80" s="438">
        <f t="shared" si="40"/>
        <v>0</v>
      </c>
      <c r="F80" s="433">
        <f t="shared" si="40"/>
        <v>0</v>
      </c>
      <c r="G80" s="155"/>
      <c r="H80" s="161"/>
      <c r="I80" s="161"/>
      <c r="J80" s="604"/>
      <c r="K80" s="259" t="e">
        <f t="shared" si="34"/>
        <v>#DIV/0!</v>
      </c>
      <c r="L80" s="260" t="e">
        <f t="shared" si="35"/>
        <v>#DIV/0!</v>
      </c>
      <c r="M80" s="261" t="e">
        <f t="shared" si="36"/>
        <v>#DIV/0!</v>
      </c>
      <c r="N80" s="157"/>
      <c r="O80" s="160"/>
      <c r="P80" s="161"/>
      <c r="R80" s="604"/>
      <c r="S80" s="238" t="e">
        <f t="shared" ref="S80:U80" si="41">+K45</f>
        <v>#DIV/0!</v>
      </c>
      <c r="T80" s="239" t="e">
        <f t="shared" si="41"/>
        <v>#DIV/0!</v>
      </c>
      <c r="U80" s="240" t="e">
        <f t="shared" si="41"/>
        <v>#DIV/0!</v>
      </c>
      <c r="V80" s="161"/>
    </row>
    <row r="81" spans="4:36" ht="20.100000000000001" customHeight="1" x14ac:dyDescent="0.2">
      <c r="D81" s="437">
        <f t="shared" ref="D81:F81" si="42">+D46</f>
        <v>0</v>
      </c>
      <c r="E81" s="438">
        <f t="shared" si="42"/>
        <v>0</v>
      </c>
      <c r="F81" s="433">
        <f t="shared" si="42"/>
        <v>0</v>
      </c>
      <c r="G81" s="155"/>
      <c r="H81" s="161"/>
      <c r="I81" s="161"/>
      <c r="J81" s="604"/>
      <c r="K81" s="259" t="e">
        <f t="shared" si="34"/>
        <v>#DIV/0!</v>
      </c>
      <c r="L81" s="260" t="e">
        <f t="shared" si="35"/>
        <v>#DIV/0!</v>
      </c>
      <c r="M81" s="261" t="e">
        <f t="shared" si="36"/>
        <v>#DIV/0!</v>
      </c>
      <c r="N81" s="157"/>
      <c r="O81" s="160"/>
      <c r="P81" s="161"/>
      <c r="R81" s="604"/>
      <c r="S81" s="238" t="e">
        <f t="shared" ref="S81:U81" si="43">+K46</f>
        <v>#DIV/0!</v>
      </c>
      <c r="T81" s="239" t="e">
        <f t="shared" si="43"/>
        <v>#DIV/0!</v>
      </c>
      <c r="U81" s="240" t="e">
        <f t="shared" si="43"/>
        <v>#DIV/0!</v>
      </c>
      <c r="V81" s="161"/>
    </row>
    <row r="82" spans="4:36" ht="21" customHeight="1" x14ac:dyDescent="0.2">
      <c r="D82" s="437">
        <f t="shared" ref="D82:F82" si="44">+D47</f>
        <v>0</v>
      </c>
      <c r="E82" s="438">
        <f t="shared" si="44"/>
        <v>0</v>
      </c>
      <c r="F82" s="433">
        <f t="shared" si="44"/>
        <v>0</v>
      </c>
      <c r="G82" s="155"/>
      <c r="H82" s="327"/>
      <c r="I82" s="327"/>
      <c r="J82" s="604"/>
      <c r="K82" s="259" t="e">
        <f t="shared" si="34"/>
        <v>#DIV/0!</v>
      </c>
      <c r="L82" s="260" t="e">
        <f t="shared" si="35"/>
        <v>#DIV/0!</v>
      </c>
      <c r="M82" s="261" t="e">
        <f t="shared" si="36"/>
        <v>#DIV/0!</v>
      </c>
      <c r="N82" s="157"/>
      <c r="O82" s="327"/>
      <c r="P82" s="327"/>
      <c r="R82" s="604"/>
      <c r="S82" s="238" t="e">
        <f t="shared" ref="S82:U82" si="45">+K47</f>
        <v>#DIV/0!</v>
      </c>
      <c r="T82" s="239" t="e">
        <f t="shared" si="45"/>
        <v>#DIV/0!</v>
      </c>
      <c r="U82" s="240" t="e">
        <f t="shared" si="45"/>
        <v>#DIV/0!</v>
      </c>
      <c r="V82" s="327"/>
    </row>
    <row r="83" spans="4:36" ht="15" customHeight="1" thickBot="1" x14ac:dyDescent="0.25">
      <c r="D83" s="442">
        <f t="shared" ref="D83:F83" si="46">+D48</f>
        <v>0</v>
      </c>
      <c r="E83" s="443">
        <f t="shared" si="46"/>
        <v>0</v>
      </c>
      <c r="F83" s="444">
        <f t="shared" si="46"/>
        <v>0</v>
      </c>
      <c r="G83" s="155"/>
      <c r="H83" s="164"/>
      <c r="I83" s="164"/>
      <c r="J83" s="605"/>
      <c r="K83" s="439" t="e">
        <f t="shared" si="34"/>
        <v>#DIV/0!</v>
      </c>
      <c r="L83" s="440" t="e">
        <f t="shared" si="35"/>
        <v>#DIV/0!</v>
      </c>
      <c r="M83" s="441" t="e">
        <f t="shared" si="36"/>
        <v>#DIV/0!</v>
      </c>
      <c r="N83" s="157"/>
      <c r="O83" s="176"/>
      <c r="P83" s="176"/>
      <c r="R83" s="605"/>
      <c r="S83" s="241" t="e">
        <f t="shared" ref="S83:U83" si="47">+K48</f>
        <v>#DIV/0!</v>
      </c>
      <c r="T83" s="242" t="e">
        <f t="shared" si="47"/>
        <v>#DIV/0!</v>
      </c>
      <c r="U83" s="243" t="e">
        <f t="shared" si="47"/>
        <v>#DIV/0!</v>
      </c>
      <c r="V83" s="176"/>
    </row>
    <row r="84" spans="4:36" ht="15" customHeight="1" thickBot="1" x14ac:dyDescent="0.25">
      <c r="G84" s="155"/>
      <c r="H84" s="164"/>
      <c r="I84" s="164"/>
      <c r="U84" s="157"/>
      <c r="V84" s="176"/>
    </row>
    <row r="85" spans="4:36" ht="15" customHeight="1" thickBot="1" x14ac:dyDescent="0.25">
      <c r="G85" s="155"/>
      <c r="H85" s="164"/>
      <c r="I85" s="164"/>
      <c r="K85" s="606" t="s">
        <v>198</v>
      </c>
      <c r="L85" s="607"/>
      <c r="M85" s="608"/>
      <c r="V85" s="176"/>
      <c r="W85" s="176"/>
    </row>
    <row r="86" spans="4:36" ht="20.100000000000001" customHeight="1" thickBot="1" x14ac:dyDescent="0.25">
      <c r="D86" s="343" t="s">
        <v>8</v>
      </c>
      <c r="E86" s="344" t="s">
        <v>9</v>
      </c>
      <c r="F86" s="345" t="s">
        <v>10</v>
      </c>
      <c r="G86" s="155"/>
      <c r="H86" s="164"/>
      <c r="I86" s="164"/>
      <c r="K86" s="343" t="s">
        <v>8</v>
      </c>
      <c r="L86" s="344" t="s">
        <v>9</v>
      </c>
      <c r="M86" s="345" t="s">
        <v>10</v>
      </c>
      <c r="S86" s="343" t="s">
        <v>8</v>
      </c>
      <c r="T86" s="344" t="s">
        <v>9</v>
      </c>
      <c r="U86" s="344" t="s">
        <v>10</v>
      </c>
      <c r="V86" s="176"/>
      <c r="W86" s="176"/>
    </row>
    <row r="87" spans="4:36" ht="20.100000000000001" customHeight="1" x14ac:dyDescent="0.2">
      <c r="D87" s="228" t="e">
        <f t="shared" ref="D87:F95" si="48">+D69-$D$64</f>
        <v>#DIV/0!</v>
      </c>
      <c r="E87" s="229" t="e">
        <f t="shared" si="48"/>
        <v>#DIV/0!</v>
      </c>
      <c r="F87" s="230" t="e">
        <f t="shared" si="48"/>
        <v>#DIV/0!</v>
      </c>
      <c r="G87" s="155"/>
      <c r="H87" s="164"/>
      <c r="I87" s="164"/>
      <c r="J87" s="603" t="s">
        <v>18</v>
      </c>
      <c r="K87" s="228" t="e">
        <f t="shared" ref="K87:M101" si="49">+K69-$D$64</f>
        <v>#DIV/0!</v>
      </c>
      <c r="L87" s="229" t="e">
        <f t="shared" si="49"/>
        <v>#DIV/0!</v>
      </c>
      <c r="M87" s="230" t="e">
        <f t="shared" si="49"/>
        <v>#DIV/0!</v>
      </c>
      <c r="R87" s="603" t="s">
        <v>19</v>
      </c>
      <c r="S87" s="228" t="e">
        <f t="shared" ref="S87:U101" si="50">+S69</f>
        <v>#DIV/0!</v>
      </c>
      <c r="T87" s="229" t="e">
        <f t="shared" si="50"/>
        <v>#DIV/0!</v>
      </c>
      <c r="U87" s="230" t="e">
        <f t="shared" si="50"/>
        <v>#DIV/0!</v>
      </c>
      <c r="V87" s="176"/>
      <c r="W87" s="176"/>
    </row>
    <row r="88" spans="4:36" ht="20.100000000000001" customHeight="1" x14ac:dyDescent="0.2">
      <c r="D88" s="304" t="e">
        <f t="shared" si="48"/>
        <v>#DIV/0!</v>
      </c>
      <c r="E88" s="305" t="e">
        <f t="shared" si="48"/>
        <v>#DIV/0!</v>
      </c>
      <c r="F88" s="231" t="e">
        <f t="shared" si="48"/>
        <v>#DIV/0!</v>
      </c>
      <c r="G88" s="155"/>
      <c r="H88" s="164"/>
      <c r="I88" s="164"/>
      <c r="J88" s="604"/>
      <c r="K88" s="304" t="e">
        <f t="shared" si="49"/>
        <v>#DIV/0!</v>
      </c>
      <c r="L88" s="305" t="e">
        <f t="shared" si="49"/>
        <v>#DIV/0!</v>
      </c>
      <c r="M88" s="231" t="e">
        <f t="shared" si="49"/>
        <v>#DIV/0!</v>
      </c>
      <c r="R88" s="604"/>
      <c r="S88" s="304" t="e">
        <f t="shared" si="50"/>
        <v>#DIV/0!</v>
      </c>
      <c r="T88" s="305" t="e">
        <f t="shared" si="50"/>
        <v>#DIV/0!</v>
      </c>
      <c r="U88" s="231" t="e">
        <f t="shared" si="50"/>
        <v>#DIV/0!</v>
      </c>
      <c r="V88" s="176"/>
      <c r="W88" s="176"/>
    </row>
    <row r="89" spans="4:36" ht="20.100000000000001" customHeight="1" x14ac:dyDescent="0.2">
      <c r="D89" s="304" t="e">
        <f t="shared" si="48"/>
        <v>#DIV/0!</v>
      </c>
      <c r="E89" s="305" t="e">
        <f t="shared" si="48"/>
        <v>#DIV/0!</v>
      </c>
      <c r="F89" s="231" t="e">
        <f t="shared" si="48"/>
        <v>#DIV/0!</v>
      </c>
      <c r="G89" s="155"/>
      <c r="H89" s="164"/>
      <c r="I89" s="164"/>
      <c r="J89" s="604"/>
      <c r="K89" s="304" t="e">
        <f t="shared" si="49"/>
        <v>#DIV/0!</v>
      </c>
      <c r="L89" s="305" t="e">
        <f t="shared" si="49"/>
        <v>#DIV/0!</v>
      </c>
      <c r="M89" s="231" t="e">
        <f t="shared" si="49"/>
        <v>#DIV/0!</v>
      </c>
      <c r="R89" s="604"/>
      <c r="S89" s="304" t="e">
        <f t="shared" si="50"/>
        <v>#DIV/0!</v>
      </c>
      <c r="T89" s="305" t="e">
        <f t="shared" si="50"/>
        <v>#DIV/0!</v>
      </c>
      <c r="U89" s="231" t="e">
        <f t="shared" si="50"/>
        <v>#DIV/0!</v>
      </c>
      <c r="V89" s="176"/>
      <c r="W89" s="176"/>
    </row>
    <row r="90" spans="4:36" ht="20.100000000000001" customHeight="1" x14ac:dyDescent="0.2">
      <c r="D90" s="304" t="e">
        <f t="shared" si="48"/>
        <v>#DIV/0!</v>
      </c>
      <c r="E90" s="305" t="e">
        <f t="shared" si="48"/>
        <v>#DIV/0!</v>
      </c>
      <c r="F90" s="231" t="e">
        <f t="shared" si="48"/>
        <v>#DIV/0!</v>
      </c>
      <c r="G90" s="155"/>
      <c r="H90" s="164"/>
      <c r="I90" s="164"/>
      <c r="J90" s="604"/>
      <c r="K90" s="304" t="e">
        <f t="shared" si="49"/>
        <v>#DIV/0!</v>
      </c>
      <c r="L90" s="305" t="e">
        <f t="shared" si="49"/>
        <v>#DIV/0!</v>
      </c>
      <c r="M90" s="231" t="e">
        <f t="shared" si="49"/>
        <v>#DIV/0!</v>
      </c>
      <c r="R90" s="604"/>
      <c r="S90" s="304" t="e">
        <f t="shared" si="50"/>
        <v>#DIV/0!</v>
      </c>
      <c r="T90" s="305" t="e">
        <f t="shared" si="50"/>
        <v>#DIV/0!</v>
      </c>
      <c r="U90" s="231" t="e">
        <f t="shared" si="50"/>
        <v>#DIV/0!</v>
      </c>
      <c r="V90" s="176"/>
      <c r="W90" s="176"/>
    </row>
    <row r="91" spans="4:36" ht="20.100000000000001" customHeight="1" x14ac:dyDescent="0.2">
      <c r="D91" s="304" t="e">
        <f t="shared" si="48"/>
        <v>#DIV/0!</v>
      </c>
      <c r="E91" s="305" t="e">
        <f t="shared" si="48"/>
        <v>#DIV/0!</v>
      </c>
      <c r="F91" s="231" t="e">
        <f t="shared" si="48"/>
        <v>#DIV/0!</v>
      </c>
      <c r="G91" s="155"/>
      <c r="H91" s="164"/>
      <c r="I91" s="164"/>
      <c r="J91" s="604"/>
      <c r="K91" s="304" t="e">
        <f t="shared" si="49"/>
        <v>#DIV/0!</v>
      </c>
      <c r="L91" s="305" t="e">
        <f t="shared" si="49"/>
        <v>#DIV/0!</v>
      </c>
      <c r="M91" s="231" t="e">
        <f t="shared" si="49"/>
        <v>#DIV/0!</v>
      </c>
      <c r="R91" s="604"/>
      <c r="S91" s="304" t="e">
        <f t="shared" si="50"/>
        <v>#DIV/0!</v>
      </c>
      <c r="T91" s="305" t="e">
        <f t="shared" si="50"/>
        <v>#DIV/0!</v>
      </c>
      <c r="U91" s="231" t="e">
        <f t="shared" si="50"/>
        <v>#DIV/0!</v>
      </c>
      <c r="V91" s="176"/>
      <c r="W91" s="176"/>
    </row>
    <row r="92" spans="4:36" ht="20.100000000000001" customHeight="1" x14ac:dyDescent="0.2">
      <c r="D92" s="304" t="e">
        <f t="shared" si="48"/>
        <v>#DIV/0!</v>
      </c>
      <c r="E92" s="305" t="e">
        <f t="shared" si="48"/>
        <v>#DIV/0!</v>
      </c>
      <c r="F92" s="231" t="e">
        <f t="shared" si="48"/>
        <v>#DIV/0!</v>
      </c>
      <c r="G92" s="155"/>
      <c r="H92" s="164"/>
      <c r="I92" s="164"/>
      <c r="J92" s="604"/>
      <c r="K92" s="304" t="e">
        <f t="shared" si="49"/>
        <v>#DIV/0!</v>
      </c>
      <c r="L92" s="305" t="e">
        <f t="shared" si="49"/>
        <v>#DIV/0!</v>
      </c>
      <c r="M92" s="231" t="e">
        <f t="shared" si="49"/>
        <v>#DIV/0!</v>
      </c>
      <c r="R92" s="604"/>
      <c r="S92" s="304" t="e">
        <f t="shared" si="50"/>
        <v>#DIV/0!</v>
      </c>
      <c r="T92" s="305" t="e">
        <f t="shared" si="50"/>
        <v>#DIV/0!</v>
      </c>
      <c r="U92" s="231" t="e">
        <f t="shared" si="50"/>
        <v>#DIV/0!</v>
      </c>
      <c r="V92" s="176"/>
      <c r="W92" s="176"/>
    </row>
    <row r="93" spans="4:36" ht="20.100000000000001" customHeight="1" x14ac:dyDescent="0.2">
      <c r="D93" s="304" t="e">
        <f t="shared" si="48"/>
        <v>#DIV/0!</v>
      </c>
      <c r="E93" s="305" t="e">
        <f t="shared" si="48"/>
        <v>#DIV/0!</v>
      </c>
      <c r="F93" s="231" t="e">
        <f t="shared" si="48"/>
        <v>#DIV/0!</v>
      </c>
      <c r="G93" s="155"/>
      <c r="H93" s="164"/>
      <c r="I93" s="164"/>
      <c r="J93" s="604"/>
      <c r="K93" s="304" t="e">
        <f t="shared" si="49"/>
        <v>#DIV/0!</v>
      </c>
      <c r="L93" s="305" t="e">
        <f t="shared" si="49"/>
        <v>#DIV/0!</v>
      </c>
      <c r="M93" s="231" t="e">
        <f t="shared" si="49"/>
        <v>#DIV/0!</v>
      </c>
      <c r="R93" s="604"/>
      <c r="S93" s="304" t="e">
        <f t="shared" si="50"/>
        <v>#DIV/0!</v>
      </c>
      <c r="T93" s="305" t="e">
        <f t="shared" si="50"/>
        <v>#DIV/0!</v>
      </c>
      <c r="U93" s="231" t="e">
        <f t="shared" si="50"/>
        <v>#DIV/0!</v>
      </c>
      <c r="V93" s="176"/>
      <c r="W93" s="176"/>
    </row>
    <row r="94" spans="4:36" ht="20.100000000000001" customHeight="1" x14ac:dyDescent="0.2">
      <c r="D94" s="304" t="e">
        <f t="shared" si="48"/>
        <v>#DIV/0!</v>
      </c>
      <c r="E94" s="305" t="e">
        <f t="shared" si="48"/>
        <v>#DIV/0!</v>
      </c>
      <c r="F94" s="231" t="e">
        <f t="shared" si="48"/>
        <v>#DIV/0!</v>
      </c>
      <c r="G94" s="155"/>
      <c r="H94" s="161"/>
      <c r="I94" s="161"/>
      <c r="J94" s="604"/>
      <c r="K94" s="304" t="e">
        <f t="shared" si="49"/>
        <v>#DIV/0!</v>
      </c>
      <c r="L94" s="305" t="e">
        <f t="shared" si="49"/>
        <v>#DIV/0!</v>
      </c>
      <c r="M94" s="231" t="e">
        <f t="shared" si="49"/>
        <v>#DIV/0!</v>
      </c>
      <c r="R94" s="604"/>
      <c r="S94" s="304" t="e">
        <f t="shared" si="50"/>
        <v>#DIV/0!</v>
      </c>
      <c r="T94" s="305" t="e">
        <f t="shared" si="50"/>
        <v>#DIV/0!</v>
      </c>
      <c r="U94" s="231" t="e">
        <f t="shared" si="50"/>
        <v>#DIV/0!</v>
      </c>
      <c r="V94" s="161"/>
      <c r="W94" s="161"/>
    </row>
    <row r="95" spans="4:36" ht="20.100000000000001" customHeight="1" x14ac:dyDescent="0.2">
      <c r="D95" s="304" t="e">
        <f t="shared" si="48"/>
        <v>#DIV/0!</v>
      </c>
      <c r="E95" s="305" t="e">
        <f t="shared" si="48"/>
        <v>#DIV/0!</v>
      </c>
      <c r="F95" s="231" t="e">
        <f t="shared" si="48"/>
        <v>#DIV/0!</v>
      </c>
      <c r="G95" s="155"/>
      <c r="H95" s="327"/>
      <c r="I95" s="327"/>
      <c r="J95" s="604"/>
      <c r="K95" s="304" t="e">
        <f t="shared" si="49"/>
        <v>#DIV/0!</v>
      </c>
      <c r="L95" s="305" t="e">
        <f t="shared" si="49"/>
        <v>#DIV/0!</v>
      </c>
      <c r="M95" s="231" t="e">
        <f t="shared" si="49"/>
        <v>#DIV/0!</v>
      </c>
      <c r="R95" s="604"/>
      <c r="S95" s="304" t="e">
        <f t="shared" si="50"/>
        <v>#DIV/0!</v>
      </c>
      <c r="T95" s="305" t="e">
        <f t="shared" si="50"/>
        <v>#DIV/0!</v>
      </c>
      <c r="U95" s="231" t="e">
        <f t="shared" si="50"/>
        <v>#DIV/0!</v>
      </c>
      <c r="V95" s="327"/>
      <c r="W95" s="327"/>
      <c r="AB95" s="153"/>
      <c r="AC95" s="165"/>
      <c r="AD95" s="153"/>
      <c r="AE95" s="153"/>
      <c r="AF95" s="153"/>
      <c r="AG95" s="166"/>
      <c r="AH95" s="205"/>
      <c r="AI95" s="205"/>
      <c r="AJ95" s="205"/>
    </row>
    <row r="96" spans="4:36" ht="20.100000000000001" customHeight="1" x14ac:dyDescent="0.2">
      <c r="D96" s="304" t="e">
        <f t="shared" ref="D96:F96" si="51">+D78-$D$64</f>
        <v>#DIV/0!</v>
      </c>
      <c r="E96" s="305" t="e">
        <f t="shared" si="51"/>
        <v>#DIV/0!</v>
      </c>
      <c r="F96" s="231" t="e">
        <f t="shared" si="51"/>
        <v>#DIV/0!</v>
      </c>
      <c r="G96" s="155"/>
      <c r="H96" s="176"/>
      <c r="I96" s="176"/>
      <c r="J96" s="604"/>
      <c r="K96" s="304" t="e">
        <f t="shared" si="49"/>
        <v>#DIV/0!</v>
      </c>
      <c r="L96" s="305" t="e">
        <f t="shared" si="49"/>
        <v>#DIV/0!</v>
      </c>
      <c r="M96" s="231" t="e">
        <f t="shared" si="49"/>
        <v>#DIV/0!</v>
      </c>
      <c r="R96" s="604"/>
      <c r="S96" s="304" t="e">
        <f t="shared" si="50"/>
        <v>#DIV/0!</v>
      </c>
      <c r="T96" s="305" t="e">
        <f t="shared" si="50"/>
        <v>#DIV/0!</v>
      </c>
      <c r="U96" s="231" t="e">
        <f t="shared" si="50"/>
        <v>#DIV/0!</v>
      </c>
      <c r="V96" s="176"/>
      <c r="W96" s="176"/>
      <c r="AB96" s="153"/>
      <c r="AC96" s="165"/>
      <c r="AD96" s="153"/>
      <c r="AE96" s="153"/>
      <c r="AF96" s="153"/>
      <c r="AG96" s="166"/>
      <c r="AH96" s="205"/>
      <c r="AI96" s="205"/>
      <c r="AJ96" s="205"/>
    </row>
    <row r="97" spans="1:36" ht="20.100000000000001" customHeight="1" x14ac:dyDescent="0.2">
      <c r="D97" s="304" t="e">
        <f t="shared" ref="D97:F97" si="52">+D79-$D$64</f>
        <v>#DIV/0!</v>
      </c>
      <c r="E97" s="305" t="e">
        <f t="shared" si="52"/>
        <v>#DIV/0!</v>
      </c>
      <c r="F97" s="231" t="e">
        <f t="shared" si="52"/>
        <v>#DIV/0!</v>
      </c>
      <c r="G97" s="155"/>
      <c r="I97" s="176"/>
      <c r="J97" s="604"/>
      <c r="K97" s="304" t="e">
        <f t="shared" si="49"/>
        <v>#DIV/0!</v>
      </c>
      <c r="L97" s="305" t="e">
        <f t="shared" si="49"/>
        <v>#DIV/0!</v>
      </c>
      <c r="M97" s="231" t="e">
        <f t="shared" si="49"/>
        <v>#DIV/0!</v>
      </c>
      <c r="R97" s="604"/>
      <c r="S97" s="304" t="e">
        <f t="shared" si="50"/>
        <v>#DIV/0!</v>
      </c>
      <c r="T97" s="305" t="e">
        <f t="shared" si="50"/>
        <v>#DIV/0!</v>
      </c>
      <c r="U97" s="231" t="e">
        <f t="shared" si="50"/>
        <v>#DIV/0!</v>
      </c>
      <c r="V97" s="176"/>
      <c r="W97" s="176"/>
      <c r="AB97" s="153"/>
      <c r="AC97" s="165"/>
      <c r="AD97" s="153"/>
      <c r="AE97" s="153"/>
      <c r="AF97" s="153"/>
      <c r="AG97" s="166"/>
      <c r="AH97" s="205"/>
      <c r="AI97" s="205"/>
      <c r="AJ97" s="205"/>
    </row>
    <row r="98" spans="1:36" ht="20.100000000000001" customHeight="1" x14ac:dyDescent="0.25">
      <c r="A98" s="347"/>
      <c r="D98" s="304" t="e">
        <f t="shared" ref="D98:F98" si="53">+D80-$D$64</f>
        <v>#DIV/0!</v>
      </c>
      <c r="E98" s="305" t="e">
        <f t="shared" si="53"/>
        <v>#DIV/0!</v>
      </c>
      <c r="F98" s="231" t="e">
        <f t="shared" si="53"/>
        <v>#DIV/0!</v>
      </c>
      <c r="G98" s="155"/>
      <c r="I98" s="176"/>
      <c r="J98" s="604"/>
      <c r="K98" s="304" t="e">
        <f t="shared" si="49"/>
        <v>#DIV/0!</v>
      </c>
      <c r="L98" s="305" t="e">
        <f t="shared" si="49"/>
        <v>#DIV/0!</v>
      </c>
      <c r="M98" s="231" t="e">
        <f t="shared" si="49"/>
        <v>#DIV/0!</v>
      </c>
      <c r="R98" s="604"/>
      <c r="S98" s="304" t="e">
        <f t="shared" si="50"/>
        <v>#DIV/0!</v>
      </c>
      <c r="T98" s="305" t="e">
        <f t="shared" si="50"/>
        <v>#DIV/0!</v>
      </c>
      <c r="U98" s="231" t="e">
        <f t="shared" si="50"/>
        <v>#DIV/0!</v>
      </c>
      <c r="V98" s="176"/>
      <c r="W98" s="176"/>
      <c r="AB98" s="153"/>
      <c r="AC98" s="165"/>
      <c r="AD98" s="153"/>
      <c r="AE98" s="153"/>
      <c r="AF98" s="153"/>
      <c r="AG98" s="166"/>
      <c r="AH98" s="205"/>
      <c r="AI98" s="205"/>
      <c r="AJ98" s="205"/>
    </row>
    <row r="99" spans="1:36" ht="20.100000000000001" customHeight="1" x14ac:dyDescent="0.25">
      <c r="A99" s="347"/>
      <c r="D99" s="304" t="e">
        <f t="shared" ref="D99:F99" si="54">+D81-$D$64</f>
        <v>#DIV/0!</v>
      </c>
      <c r="E99" s="305" t="e">
        <f t="shared" si="54"/>
        <v>#DIV/0!</v>
      </c>
      <c r="F99" s="231" t="e">
        <f t="shared" si="54"/>
        <v>#DIV/0!</v>
      </c>
      <c r="G99" s="155"/>
      <c r="I99" s="176"/>
      <c r="J99" s="604"/>
      <c r="K99" s="304" t="e">
        <f t="shared" si="49"/>
        <v>#DIV/0!</v>
      </c>
      <c r="L99" s="305" t="e">
        <f t="shared" si="49"/>
        <v>#DIV/0!</v>
      </c>
      <c r="M99" s="231" t="e">
        <f t="shared" si="49"/>
        <v>#DIV/0!</v>
      </c>
      <c r="R99" s="604"/>
      <c r="S99" s="304" t="e">
        <f t="shared" si="50"/>
        <v>#DIV/0!</v>
      </c>
      <c r="T99" s="305" t="e">
        <f t="shared" si="50"/>
        <v>#DIV/0!</v>
      </c>
      <c r="U99" s="231" t="e">
        <f t="shared" si="50"/>
        <v>#DIV/0!</v>
      </c>
      <c r="V99" s="176"/>
      <c r="W99" s="176"/>
      <c r="AB99" s="153"/>
      <c r="AC99" s="165"/>
      <c r="AD99" s="153"/>
      <c r="AE99" s="153"/>
      <c r="AF99" s="153"/>
      <c r="AG99" s="166"/>
      <c r="AH99" s="205"/>
      <c r="AI99" s="205"/>
      <c r="AJ99" s="205"/>
    </row>
    <row r="100" spans="1:36" ht="20.100000000000001" customHeight="1" x14ac:dyDescent="0.2">
      <c r="D100" s="304" t="e">
        <f t="shared" ref="D100:F100" si="55">+D82-$D$64</f>
        <v>#DIV/0!</v>
      </c>
      <c r="E100" s="305" t="e">
        <f t="shared" si="55"/>
        <v>#DIV/0!</v>
      </c>
      <c r="F100" s="231" t="e">
        <f t="shared" si="55"/>
        <v>#DIV/0!</v>
      </c>
      <c r="G100" s="155"/>
      <c r="I100" s="176"/>
      <c r="J100" s="604"/>
      <c r="K100" s="304" t="e">
        <f t="shared" si="49"/>
        <v>#DIV/0!</v>
      </c>
      <c r="L100" s="305" t="e">
        <f t="shared" si="49"/>
        <v>#DIV/0!</v>
      </c>
      <c r="M100" s="231" t="e">
        <f t="shared" si="49"/>
        <v>#DIV/0!</v>
      </c>
      <c r="R100" s="604"/>
      <c r="S100" s="304" t="e">
        <f t="shared" si="50"/>
        <v>#DIV/0!</v>
      </c>
      <c r="T100" s="305" t="e">
        <f t="shared" si="50"/>
        <v>#DIV/0!</v>
      </c>
      <c r="U100" s="231" t="e">
        <f t="shared" si="50"/>
        <v>#DIV/0!</v>
      </c>
      <c r="V100" s="176"/>
      <c r="W100" s="176"/>
      <c r="AB100" s="153"/>
      <c r="AC100" s="159"/>
      <c r="AD100" s="153"/>
      <c r="AE100" s="153"/>
      <c r="AF100" s="153"/>
      <c r="AG100" s="166"/>
      <c r="AH100" s="205"/>
      <c r="AI100" s="205"/>
      <c r="AJ100" s="205"/>
    </row>
    <row r="101" spans="1:36" ht="20.100000000000001" customHeight="1" thickBot="1" x14ac:dyDescent="0.25">
      <c r="D101" s="232" t="e">
        <f t="shared" ref="D101:F101" si="56">+D83-$D$64</f>
        <v>#DIV/0!</v>
      </c>
      <c r="E101" s="233" t="e">
        <f t="shared" si="56"/>
        <v>#DIV/0!</v>
      </c>
      <c r="F101" s="234" t="e">
        <f t="shared" si="56"/>
        <v>#DIV/0!</v>
      </c>
      <c r="G101" s="155"/>
      <c r="I101" s="176"/>
      <c r="J101" s="605"/>
      <c r="K101" s="232" t="e">
        <f t="shared" si="49"/>
        <v>#DIV/0!</v>
      </c>
      <c r="L101" s="233" t="e">
        <f t="shared" si="49"/>
        <v>#DIV/0!</v>
      </c>
      <c r="M101" s="234" t="e">
        <f t="shared" si="49"/>
        <v>#DIV/0!</v>
      </c>
      <c r="R101" s="605"/>
      <c r="S101" s="232" t="e">
        <f t="shared" si="50"/>
        <v>#DIV/0!</v>
      </c>
      <c r="T101" s="233" t="e">
        <f t="shared" si="50"/>
        <v>#DIV/0!</v>
      </c>
      <c r="U101" s="234" t="e">
        <f t="shared" si="50"/>
        <v>#DIV/0!</v>
      </c>
      <c r="V101" s="176"/>
      <c r="W101" s="176"/>
      <c r="AB101" s="153"/>
      <c r="AC101" s="159"/>
      <c r="AD101" s="153"/>
      <c r="AE101" s="153"/>
      <c r="AF101" s="153"/>
      <c r="AG101" s="166"/>
      <c r="AH101" s="205"/>
      <c r="AI101" s="205"/>
      <c r="AJ101" s="205"/>
    </row>
    <row r="102" spans="1:36" ht="15" customHeight="1" x14ac:dyDescent="0.2">
      <c r="D102" s="155"/>
      <c r="E102" s="155"/>
      <c r="F102" s="155"/>
      <c r="G102" s="155"/>
      <c r="I102" s="176"/>
      <c r="N102" s="157"/>
      <c r="O102" s="176"/>
      <c r="U102" s="157"/>
      <c r="V102" s="176"/>
      <c r="W102" s="176"/>
      <c r="AB102" s="153"/>
      <c r="AC102" s="159"/>
      <c r="AD102" s="153"/>
      <c r="AE102" s="153"/>
      <c r="AF102" s="153"/>
      <c r="AG102" s="166"/>
      <c r="AH102" s="205"/>
      <c r="AI102" s="205"/>
      <c r="AJ102" s="205"/>
    </row>
    <row r="103" spans="1:36" ht="15" customHeight="1" x14ac:dyDescent="0.2">
      <c r="D103" s="155"/>
      <c r="E103" s="155"/>
      <c r="F103" s="155"/>
      <c r="G103" s="155"/>
      <c r="H103" s="176"/>
      <c r="I103" s="176"/>
      <c r="N103" s="157"/>
      <c r="O103" s="176"/>
      <c r="V103" s="176"/>
      <c r="W103" s="176"/>
      <c r="AB103" s="153"/>
      <c r="AC103" s="159"/>
      <c r="AD103" s="153"/>
      <c r="AE103" s="153"/>
      <c r="AF103" s="153"/>
      <c r="AG103" s="166"/>
      <c r="AH103" s="205"/>
      <c r="AI103" s="205"/>
      <c r="AJ103" s="205"/>
    </row>
    <row r="104" spans="1:36" ht="15" customHeight="1" thickBot="1" x14ac:dyDescent="0.25">
      <c r="D104" s="155"/>
      <c r="E104" s="155"/>
      <c r="F104" s="155"/>
      <c r="G104" s="155"/>
      <c r="H104" s="176"/>
      <c r="I104" s="176"/>
      <c r="N104" s="157"/>
      <c r="O104" s="176"/>
      <c r="V104" s="176"/>
      <c r="W104" s="176"/>
      <c r="AB104" s="153"/>
      <c r="AC104" s="159"/>
      <c r="AD104" s="153"/>
      <c r="AE104" s="153"/>
      <c r="AF104" s="153"/>
      <c r="AG104" s="166"/>
      <c r="AH104" s="205"/>
      <c r="AI104" s="205"/>
      <c r="AJ104" s="205"/>
    </row>
    <row r="105" spans="1:36" ht="25.5" x14ac:dyDescent="0.2">
      <c r="D105" s="426" t="s">
        <v>8</v>
      </c>
      <c r="E105" s="427" t="s">
        <v>9</v>
      </c>
      <c r="F105" s="428" t="s">
        <v>10</v>
      </c>
      <c r="J105" s="207"/>
      <c r="K105" s="426" t="s">
        <v>8</v>
      </c>
      <c r="L105" s="427" t="s">
        <v>9</v>
      </c>
      <c r="M105" s="428" t="s">
        <v>10</v>
      </c>
      <c r="N105" s="157"/>
      <c r="R105" s="166"/>
      <c r="S105" s="426" t="s">
        <v>8</v>
      </c>
      <c r="T105" s="427" t="s">
        <v>9</v>
      </c>
      <c r="U105" s="428" t="s">
        <v>10</v>
      </c>
      <c r="V105" s="176"/>
      <c r="W105" s="176"/>
      <c r="AB105" s="153"/>
      <c r="AC105" s="159"/>
      <c r="AD105" s="153"/>
      <c r="AE105" s="153"/>
      <c r="AF105" s="153"/>
      <c r="AG105" s="166"/>
      <c r="AH105" s="205"/>
      <c r="AI105" s="205"/>
      <c r="AJ105" s="205"/>
    </row>
    <row r="106" spans="1:36" ht="25.5" x14ac:dyDescent="0.2">
      <c r="D106" s="238" t="e">
        <f t="shared" ref="D106:F114" si="57">+D87^2</f>
        <v>#DIV/0!</v>
      </c>
      <c r="E106" s="239" t="e">
        <f t="shared" si="57"/>
        <v>#DIV/0!</v>
      </c>
      <c r="F106" s="240" t="e">
        <f t="shared" si="57"/>
        <v>#DIV/0!</v>
      </c>
      <c r="J106" s="207"/>
      <c r="K106" s="238" t="e">
        <f t="shared" ref="K106:M120" si="58">+K87^2</f>
        <v>#DIV/0!</v>
      </c>
      <c r="L106" s="239" t="e">
        <f t="shared" si="58"/>
        <v>#DIV/0!</v>
      </c>
      <c r="M106" s="240" t="e">
        <f t="shared" si="58"/>
        <v>#DIV/0!</v>
      </c>
      <c r="N106" s="157"/>
      <c r="R106" s="166"/>
      <c r="S106" s="238" t="e">
        <f t="shared" ref="S106:U120" si="59">+S87^2</f>
        <v>#DIV/0!</v>
      </c>
      <c r="T106" s="239" t="e">
        <f t="shared" si="59"/>
        <v>#DIV/0!</v>
      </c>
      <c r="U106" s="240" t="e">
        <f t="shared" si="59"/>
        <v>#DIV/0!</v>
      </c>
      <c r="V106" s="176"/>
      <c r="W106" s="176"/>
      <c r="AB106" s="153"/>
      <c r="AC106" s="159"/>
      <c r="AD106" s="153"/>
      <c r="AE106" s="153"/>
      <c r="AF106" s="153"/>
      <c r="AG106" s="166"/>
      <c r="AH106" s="205"/>
      <c r="AI106" s="205"/>
      <c r="AJ106" s="205"/>
    </row>
    <row r="107" spans="1:36" ht="25.5" x14ac:dyDescent="0.2">
      <c r="D107" s="238" t="e">
        <f t="shared" si="57"/>
        <v>#DIV/0!</v>
      </c>
      <c r="E107" s="239" t="e">
        <f t="shared" si="57"/>
        <v>#DIV/0!</v>
      </c>
      <c r="F107" s="240" t="e">
        <f t="shared" si="57"/>
        <v>#DIV/0!</v>
      </c>
      <c r="J107" s="207"/>
      <c r="K107" s="238" t="e">
        <f t="shared" si="58"/>
        <v>#DIV/0!</v>
      </c>
      <c r="L107" s="239" t="e">
        <f t="shared" si="58"/>
        <v>#DIV/0!</v>
      </c>
      <c r="M107" s="240" t="e">
        <f t="shared" si="58"/>
        <v>#DIV/0!</v>
      </c>
      <c r="N107" s="157"/>
      <c r="R107" s="157"/>
      <c r="S107" s="238" t="e">
        <f t="shared" si="59"/>
        <v>#DIV/0!</v>
      </c>
      <c r="T107" s="239" t="e">
        <f t="shared" si="59"/>
        <v>#DIV/0!</v>
      </c>
      <c r="U107" s="240" t="e">
        <f t="shared" si="59"/>
        <v>#DIV/0!</v>
      </c>
      <c r="V107" s="176"/>
      <c r="W107" s="176"/>
      <c r="AB107" s="153"/>
      <c r="AC107" s="159"/>
      <c r="AD107" s="153"/>
      <c r="AE107" s="153"/>
      <c r="AF107" s="153"/>
      <c r="AG107" s="166"/>
      <c r="AH107" s="205"/>
      <c r="AI107" s="205"/>
      <c r="AJ107" s="205"/>
    </row>
    <row r="108" spans="1:36" x14ac:dyDescent="0.2">
      <c r="D108" s="238" t="e">
        <f t="shared" si="57"/>
        <v>#DIV/0!</v>
      </c>
      <c r="E108" s="239" t="e">
        <f t="shared" si="57"/>
        <v>#DIV/0!</v>
      </c>
      <c r="F108" s="240" t="e">
        <f t="shared" si="57"/>
        <v>#DIV/0!</v>
      </c>
      <c r="J108" s="167"/>
      <c r="K108" s="238" t="e">
        <f t="shared" si="58"/>
        <v>#DIV/0!</v>
      </c>
      <c r="L108" s="239" t="e">
        <f t="shared" si="58"/>
        <v>#DIV/0!</v>
      </c>
      <c r="M108" s="240" t="e">
        <f t="shared" si="58"/>
        <v>#DIV/0!</v>
      </c>
      <c r="N108" s="157"/>
      <c r="R108" s="157"/>
      <c r="S108" s="238" t="e">
        <f t="shared" si="59"/>
        <v>#DIV/0!</v>
      </c>
      <c r="T108" s="239" t="e">
        <f t="shared" si="59"/>
        <v>#DIV/0!</v>
      </c>
      <c r="U108" s="240" t="e">
        <f t="shared" si="59"/>
        <v>#DIV/0!</v>
      </c>
      <c r="V108" s="176"/>
      <c r="W108" s="176"/>
      <c r="AB108" s="153"/>
      <c r="AC108" s="159"/>
      <c r="AD108" s="153"/>
      <c r="AE108" s="153"/>
      <c r="AF108" s="153"/>
      <c r="AG108" s="166"/>
      <c r="AH108" s="205"/>
      <c r="AI108" s="205"/>
      <c r="AJ108" s="205"/>
    </row>
    <row r="109" spans="1:36" x14ac:dyDescent="0.2">
      <c r="D109" s="238" t="e">
        <f t="shared" si="57"/>
        <v>#DIV/0!</v>
      </c>
      <c r="E109" s="239" t="e">
        <f t="shared" si="57"/>
        <v>#DIV/0!</v>
      </c>
      <c r="F109" s="240" t="e">
        <f t="shared" si="57"/>
        <v>#DIV/0!</v>
      </c>
      <c r="K109" s="464" t="e">
        <f t="shared" si="58"/>
        <v>#DIV/0!</v>
      </c>
      <c r="L109" s="463" t="e">
        <f t="shared" si="58"/>
        <v>#DIV/0!</v>
      </c>
      <c r="M109" s="240" t="e">
        <f t="shared" si="58"/>
        <v>#DIV/0!</v>
      </c>
      <c r="N109" s="157"/>
      <c r="S109" s="238" t="e">
        <f t="shared" si="59"/>
        <v>#DIV/0!</v>
      </c>
      <c r="T109" s="239" t="e">
        <f t="shared" si="59"/>
        <v>#DIV/0!</v>
      </c>
      <c r="U109" s="240" t="e">
        <f t="shared" si="59"/>
        <v>#DIV/0!</v>
      </c>
      <c r="V109" s="169"/>
      <c r="W109" s="161"/>
      <c r="AB109" s="153"/>
      <c r="AC109" s="159"/>
      <c r="AD109" s="153"/>
      <c r="AE109" s="153"/>
      <c r="AF109" s="153"/>
      <c r="AG109" s="166"/>
      <c r="AH109" s="205"/>
      <c r="AI109" s="205"/>
      <c r="AJ109" s="205"/>
    </row>
    <row r="110" spans="1:36" x14ac:dyDescent="0.2">
      <c r="D110" s="264" t="e">
        <f t="shared" si="57"/>
        <v>#DIV/0!</v>
      </c>
      <c r="E110" s="206" t="e">
        <f t="shared" si="57"/>
        <v>#DIV/0!</v>
      </c>
      <c r="F110" s="240" t="e">
        <f t="shared" si="57"/>
        <v>#DIV/0!</v>
      </c>
      <c r="K110" s="464" t="e">
        <f t="shared" si="58"/>
        <v>#DIV/0!</v>
      </c>
      <c r="L110" s="463" t="e">
        <f t="shared" si="58"/>
        <v>#DIV/0!</v>
      </c>
      <c r="M110" s="240" t="e">
        <f t="shared" si="58"/>
        <v>#DIV/0!</v>
      </c>
      <c r="N110" s="157"/>
      <c r="S110" s="264" t="e">
        <f t="shared" si="59"/>
        <v>#DIV/0!</v>
      </c>
      <c r="T110" s="206" t="e">
        <f t="shared" si="59"/>
        <v>#DIV/0!</v>
      </c>
      <c r="U110" s="240" t="e">
        <f t="shared" si="59"/>
        <v>#DIV/0!</v>
      </c>
      <c r="V110" s="169"/>
      <c r="W110" s="161"/>
      <c r="AB110" s="153"/>
      <c r="AC110" s="159"/>
      <c r="AD110" s="153"/>
      <c r="AE110" s="153"/>
      <c r="AF110" s="153"/>
      <c r="AG110" s="166"/>
      <c r="AH110" s="205"/>
      <c r="AI110" s="205"/>
      <c r="AJ110" s="205"/>
    </row>
    <row r="111" spans="1:36" x14ac:dyDescent="0.2">
      <c r="D111" s="238" t="e">
        <f t="shared" si="57"/>
        <v>#DIV/0!</v>
      </c>
      <c r="E111" s="239" t="e">
        <f t="shared" si="57"/>
        <v>#DIV/0!</v>
      </c>
      <c r="F111" s="240" t="e">
        <f t="shared" si="57"/>
        <v>#DIV/0!</v>
      </c>
      <c r="K111" s="238" t="e">
        <f t="shared" si="58"/>
        <v>#DIV/0!</v>
      </c>
      <c r="L111" s="463" t="e">
        <f t="shared" si="58"/>
        <v>#DIV/0!</v>
      </c>
      <c r="M111" s="240" t="e">
        <f t="shared" si="58"/>
        <v>#DIV/0!</v>
      </c>
      <c r="N111" s="157"/>
      <c r="S111" s="238" t="e">
        <f t="shared" si="59"/>
        <v>#DIV/0!</v>
      </c>
      <c r="T111" s="239" t="e">
        <f t="shared" si="59"/>
        <v>#DIV/0!</v>
      </c>
      <c r="U111" s="240" t="e">
        <f t="shared" si="59"/>
        <v>#DIV/0!</v>
      </c>
      <c r="V111" s="161"/>
      <c r="W111" s="161"/>
      <c r="AB111" s="153"/>
      <c r="AC111" s="159"/>
      <c r="AD111" s="153"/>
      <c r="AE111" s="153"/>
      <c r="AF111" s="153"/>
      <c r="AG111" s="166"/>
      <c r="AH111" s="205"/>
      <c r="AI111" s="205"/>
      <c r="AJ111" s="205"/>
    </row>
    <row r="112" spans="1:36" ht="22.5" customHeight="1" x14ac:dyDescent="0.2">
      <c r="D112" s="238" t="e">
        <f t="shared" si="57"/>
        <v>#DIV/0!</v>
      </c>
      <c r="E112" s="239" t="e">
        <f t="shared" si="57"/>
        <v>#DIV/0!</v>
      </c>
      <c r="F112" s="240" t="e">
        <f t="shared" si="57"/>
        <v>#DIV/0!</v>
      </c>
      <c r="K112" s="238" t="e">
        <f t="shared" si="58"/>
        <v>#DIV/0!</v>
      </c>
      <c r="L112" s="239" t="e">
        <f t="shared" si="58"/>
        <v>#DIV/0!</v>
      </c>
      <c r="M112" s="240" t="e">
        <f t="shared" si="58"/>
        <v>#DIV/0!</v>
      </c>
      <c r="N112" s="157"/>
      <c r="S112" s="238" t="e">
        <f t="shared" si="59"/>
        <v>#DIV/0!</v>
      </c>
      <c r="T112" s="239" t="e">
        <f t="shared" si="59"/>
        <v>#DIV/0!</v>
      </c>
      <c r="U112" s="240" t="e">
        <f t="shared" si="59"/>
        <v>#DIV/0!</v>
      </c>
      <c r="V112" s="327"/>
      <c r="W112" s="327"/>
    </row>
    <row r="113" spans="3:23" x14ac:dyDescent="0.2">
      <c r="D113" s="238" t="e">
        <f t="shared" si="57"/>
        <v>#DIV/0!</v>
      </c>
      <c r="E113" s="239" t="e">
        <f t="shared" si="57"/>
        <v>#DIV/0!</v>
      </c>
      <c r="F113" s="240" t="e">
        <f t="shared" si="57"/>
        <v>#DIV/0!</v>
      </c>
      <c r="J113" s="156"/>
      <c r="K113" s="238" t="e">
        <f t="shared" si="58"/>
        <v>#DIV/0!</v>
      </c>
      <c r="L113" s="239" t="e">
        <f t="shared" si="58"/>
        <v>#DIV/0!</v>
      </c>
      <c r="M113" s="240" t="e">
        <f t="shared" si="58"/>
        <v>#DIV/0!</v>
      </c>
      <c r="N113" s="157"/>
      <c r="S113" s="238" t="e">
        <f t="shared" si="59"/>
        <v>#DIV/0!</v>
      </c>
      <c r="T113" s="239" t="e">
        <f t="shared" si="59"/>
        <v>#DIV/0!</v>
      </c>
      <c r="U113" s="240" t="e">
        <f t="shared" si="59"/>
        <v>#DIV/0!</v>
      </c>
      <c r="V113" s="176"/>
      <c r="W113" s="176"/>
    </row>
    <row r="114" spans="3:23" x14ac:dyDescent="0.2">
      <c r="D114" s="238" t="e">
        <f t="shared" si="57"/>
        <v>#DIV/0!</v>
      </c>
      <c r="E114" s="239" t="e">
        <f t="shared" si="57"/>
        <v>#DIV/0!</v>
      </c>
      <c r="F114" s="240" t="e">
        <f t="shared" si="57"/>
        <v>#DIV/0!</v>
      </c>
      <c r="J114" s="156"/>
      <c r="K114" s="238" t="e">
        <f t="shared" si="58"/>
        <v>#DIV/0!</v>
      </c>
      <c r="L114" s="239" t="e">
        <f t="shared" si="58"/>
        <v>#DIV/0!</v>
      </c>
      <c r="M114" s="240" t="e">
        <f t="shared" si="58"/>
        <v>#DIV/0!</v>
      </c>
      <c r="N114" s="157"/>
      <c r="S114" s="238" t="e">
        <f t="shared" si="59"/>
        <v>#DIV/0!</v>
      </c>
      <c r="T114" s="239" t="e">
        <f t="shared" si="59"/>
        <v>#DIV/0!</v>
      </c>
      <c r="U114" s="240" t="e">
        <f t="shared" si="59"/>
        <v>#DIV/0!</v>
      </c>
      <c r="V114" s="176"/>
      <c r="W114" s="176"/>
    </row>
    <row r="115" spans="3:23" x14ac:dyDescent="0.2">
      <c r="D115" s="238" t="e">
        <f t="shared" ref="D115:F115" si="60">+D96^2</f>
        <v>#DIV/0!</v>
      </c>
      <c r="E115" s="239" t="e">
        <f t="shared" si="60"/>
        <v>#DIV/0!</v>
      </c>
      <c r="F115" s="240" t="e">
        <f t="shared" si="60"/>
        <v>#DIV/0!</v>
      </c>
      <c r="J115" s="156"/>
      <c r="K115" s="238" t="e">
        <f t="shared" si="58"/>
        <v>#DIV/0!</v>
      </c>
      <c r="L115" s="239" t="e">
        <f t="shared" si="58"/>
        <v>#DIV/0!</v>
      </c>
      <c r="M115" s="240" t="e">
        <f t="shared" si="58"/>
        <v>#DIV/0!</v>
      </c>
      <c r="N115" s="157"/>
      <c r="S115" s="238" t="e">
        <f t="shared" si="59"/>
        <v>#DIV/0!</v>
      </c>
      <c r="T115" s="239" t="e">
        <f t="shared" si="59"/>
        <v>#DIV/0!</v>
      </c>
      <c r="U115" s="240" t="e">
        <f t="shared" si="59"/>
        <v>#DIV/0!</v>
      </c>
      <c r="V115" s="176"/>
      <c r="W115" s="176"/>
    </row>
    <row r="116" spans="3:23" x14ac:dyDescent="0.2">
      <c r="D116" s="238" t="e">
        <f t="shared" ref="D116:F116" si="61">+D97^2</f>
        <v>#DIV/0!</v>
      </c>
      <c r="E116" s="239" t="e">
        <f t="shared" si="61"/>
        <v>#DIV/0!</v>
      </c>
      <c r="F116" s="240" t="e">
        <f t="shared" si="61"/>
        <v>#DIV/0!</v>
      </c>
      <c r="J116" s="156"/>
      <c r="K116" s="238" t="e">
        <f t="shared" si="58"/>
        <v>#DIV/0!</v>
      </c>
      <c r="L116" s="239" t="e">
        <f t="shared" si="58"/>
        <v>#DIV/0!</v>
      </c>
      <c r="M116" s="240" t="e">
        <f t="shared" si="58"/>
        <v>#DIV/0!</v>
      </c>
      <c r="N116" s="157"/>
      <c r="S116" s="238" t="e">
        <f t="shared" si="59"/>
        <v>#DIV/0!</v>
      </c>
      <c r="T116" s="239" t="e">
        <f t="shared" si="59"/>
        <v>#DIV/0!</v>
      </c>
      <c r="U116" s="240" t="e">
        <f t="shared" si="59"/>
        <v>#DIV/0!</v>
      </c>
      <c r="V116" s="176"/>
      <c r="W116" s="176"/>
    </row>
    <row r="117" spans="3:23" x14ac:dyDescent="0.2">
      <c r="D117" s="238" t="e">
        <f t="shared" ref="D117:F117" si="62">+D98^2</f>
        <v>#DIV/0!</v>
      </c>
      <c r="E117" s="239" t="e">
        <f t="shared" si="62"/>
        <v>#DIV/0!</v>
      </c>
      <c r="F117" s="240" t="e">
        <f t="shared" si="62"/>
        <v>#DIV/0!</v>
      </c>
      <c r="J117" s="156"/>
      <c r="K117" s="238" t="e">
        <f t="shared" si="58"/>
        <v>#DIV/0!</v>
      </c>
      <c r="L117" s="239" t="e">
        <f t="shared" si="58"/>
        <v>#DIV/0!</v>
      </c>
      <c r="M117" s="240" t="e">
        <f t="shared" si="58"/>
        <v>#DIV/0!</v>
      </c>
      <c r="N117" s="157"/>
      <c r="S117" s="238" t="e">
        <f t="shared" si="59"/>
        <v>#DIV/0!</v>
      </c>
      <c r="T117" s="239" t="e">
        <f t="shared" si="59"/>
        <v>#DIV/0!</v>
      </c>
      <c r="U117" s="240" t="e">
        <f t="shared" si="59"/>
        <v>#DIV/0!</v>
      </c>
      <c r="V117" s="176"/>
      <c r="W117" s="176"/>
    </row>
    <row r="118" spans="3:23" x14ac:dyDescent="0.2">
      <c r="D118" s="238" t="e">
        <f t="shared" ref="D118:F118" si="63">+D99^2</f>
        <v>#DIV/0!</v>
      </c>
      <c r="E118" s="239" t="e">
        <f t="shared" si="63"/>
        <v>#DIV/0!</v>
      </c>
      <c r="F118" s="240" t="e">
        <f t="shared" si="63"/>
        <v>#DIV/0!</v>
      </c>
      <c r="J118" s="156"/>
      <c r="K118" s="238" t="e">
        <f t="shared" si="58"/>
        <v>#DIV/0!</v>
      </c>
      <c r="L118" s="239" t="e">
        <f t="shared" si="58"/>
        <v>#DIV/0!</v>
      </c>
      <c r="M118" s="240" t="e">
        <f t="shared" si="58"/>
        <v>#DIV/0!</v>
      </c>
      <c r="N118" s="157"/>
      <c r="S118" s="238" t="e">
        <f t="shared" si="59"/>
        <v>#DIV/0!</v>
      </c>
      <c r="T118" s="239" t="e">
        <f t="shared" si="59"/>
        <v>#DIV/0!</v>
      </c>
      <c r="U118" s="240" t="e">
        <f t="shared" si="59"/>
        <v>#DIV/0!</v>
      </c>
    </row>
    <row r="119" spans="3:23" ht="15.75" x14ac:dyDescent="0.25">
      <c r="C119" s="351"/>
      <c r="D119" s="238" t="e">
        <f t="shared" ref="D119:F119" si="64">+D100^2</f>
        <v>#DIV/0!</v>
      </c>
      <c r="E119" s="239" t="e">
        <f t="shared" si="64"/>
        <v>#DIV/0!</v>
      </c>
      <c r="F119" s="240" t="e">
        <f t="shared" si="64"/>
        <v>#DIV/0!</v>
      </c>
      <c r="J119" s="156"/>
      <c r="K119" s="238" t="e">
        <f t="shared" si="58"/>
        <v>#DIV/0!</v>
      </c>
      <c r="L119" s="239" t="e">
        <f t="shared" si="58"/>
        <v>#DIV/0!</v>
      </c>
      <c r="M119" s="240" t="e">
        <f t="shared" si="58"/>
        <v>#DIV/0!</v>
      </c>
      <c r="N119" s="157"/>
      <c r="S119" s="238" t="e">
        <f t="shared" si="59"/>
        <v>#DIV/0!</v>
      </c>
      <c r="T119" s="239" t="e">
        <f t="shared" si="59"/>
        <v>#DIV/0!</v>
      </c>
      <c r="U119" s="240" t="e">
        <f t="shared" si="59"/>
        <v>#DIV/0!</v>
      </c>
    </row>
    <row r="120" spans="3:23" ht="16.5" thickBot="1" x14ac:dyDescent="0.3">
      <c r="C120" s="351"/>
      <c r="D120" s="241" t="e">
        <f t="shared" ref="D120:F120" si="65">+D101^2</f>
        <v>#DIV/0!</v>
      </c>
      <c r="E120" s="242" t="e">
        <f t="shared" si="65"/>
        <v>#DIV/0!</v>
      </c>
      <c r="F120" s="243" t="e">
        <f t="shared" si="65"/>
        <v>#DIV/0!</v>
      </c>
      <c r="J120" s="157"/>
      <c r="K120" s="241" t="e">
        <f t="shared" si="58"/>
        <v>#DIV/0!</v>
      </c>
      <c r="L120" s="242" t="e">
        <f t="shared" si="58"/>
        <v>#DIV/0!</v>
      </c>
      <c r="M120" s="243" t="e">
        <f t="shared" si="58"/>
        <v>#DIV/0!</v>
      </c>
      <c r="N120" s="157"/>
      <c r="S120" s="241" t="e">
        <f t="shared" si="59"/>
        <v>#DIV/0!</v>
      </c>
      <c r="T120" s="242" t="e">
        <f t="shared" si="59"/>
        <v>#DIV/0!</v>
      </c>
      <c r="U120" s="243" t="e">
        <f t="shared" si="59"/>
        <v>#DIV/0!</v>
      </c>
    </row>
    <row r="121" spans="3:23" ht="15.75" x14ac:dyDescent="0.25">
      <c r="C121" s="351"/>
      <c r="D121" s="155"/>
      <c r="E121" s="155"/>
      <c r="F121" s="155"/>
      <c r="G121" s="157"/>
      <c r="H121" s="157"/>
      <c r="I121" s="157"/>
      <c r="J121" s="157"/>
      <c r="K121" s="157"/>
      <c r="L121" s="157"/>
      <c r="M121" s="157"/>
      <c r="N121" s="157"/>
      <c r="U121" s="157"/>
    </row>
    <row r="122" spans="3:23" ht="16.5" thickBot="1" x14ac:dyDescent="0.3">
      <c r="C122" s="351"/>
      <c r="D122" s="352"/>
      <c r="E122" s="156"/>
      <c r="F122" s="156"/>
      <c r="G122" s="155"/>
      <c r="H122" s="156"/>
      <c r="I122" s="156"/>
      <c r="J122" s="156"/>
      <c r="K122" s="352"/>
      <c r="L122" s="156"/>
      <c r="M122" s="156"/>
      <c r="N122" s="157"/>
      <c r="O122" s="156"/>
      <c r="P122" s="156"/>
      <c r="Q122" s="156"/>
      <c r="R122" s="352"/>
      <c r="S122" s="156"/>
      <c r="T122" s="156"/>
      <c r="U122" s="157"/>
    </row>
    <row r="123" spans="3:23" ht="16.5" customHeight="1" thickBot="1" x14ac:dyDescent="0.3">
      <c r="D123" s="353" t="s">
        <v>20</v>
      </c>
      <c r="E123" s="354" t="e">
        <f>SUM(D106:F120)</f>
        <v>#DIV/0!</v>
      </c>
      <c r="F123" s="156"/>
      <c r="G123" s="155"/>
      <c r="H123" s="156"/>
      <c r="K123" s="601" t="s">
        <v>20</v>
      </c>
      <c r="L123" s="602"/>
      <c r="M123" s="462" t="e">
        <f>SUM(K106:M120)</f>
        <v>#DIV/0!</v>
      </c>
      <c r="N123" s="157"/>
      <c r="O123" s="156"/>
      <c r="R123" s="601" t="s">
        <v>20</v>
      </c>
      <c r="S123" s="602"/>
      <c r="T123" s="354" t="e">
        <f>SUM(S106:U120)</f>
        <v>#DIV/0!</v>
      </c>
    </row>
    <row r="124" spans="3:23" ht="16.5" thickBot="1" x14ac:dyDescent="0.3">
      <c r="C124" s="351"/>
      <c r="D124" s="156"/>
      <c r="E124" s="156"/>
      <c r="F124" s="156"/>
      <c r="G124" s="156"/>
      <c r="H124" s="156"/>
      <c r="I124" s="156"/>
      <c r="J124" s="156"/>
      <c r="K124" s="156"/>
      <c r="L124" s="156"/>
      <c r="M124" s="156"/>
      <c r="N124" s="156"/>
      <c r="O124" s="156"/>
      <c r="P124" s="156"/>
      <c r="Q124" s="156"/>
      <c r="R124" s="156"/>
    </row>
    <row r="125" spans="3:23" ht="16.5" thickBot="1" x14ac:dyDescent="0.3">
      <c r="C125" s="351"/>
      <c r="I125" s="156"/>
      <c r="J125" s="190"/>
      <c r="K125" s="191"/>
      <c r="L125" s="191"/>
      <c r="M125" s="191"/>
      <c r="N125" s="191"/>
      <c r="O125" s="191"/>
      <c r="P125" s="191"/>
      <c r="Q125" s="191"/>
      <c r="R125" s="191"/>
      <c r="S125" s="191"/>
      <c r="T125" s="191"/>
      <c r="U125" s="191"/>
      <c r="V125" s="171"/>
    </row>
    <row r="126" spans="3:23" ht="35.1" customHeight="1" thickBot="1" x14ac:dyDescent="0.25">
      <c r="J126" s="581" t="s">
        <v>24</v>
      </c>
      <c r="K126" s="582"/>
      <c r="L126" s="582"/>
      <c r="M126" s="582"/>
      <c r="N126" s="582"/>
      <c r="O126" s="582"/>
      <c r="P126" s="582"/>
      <c r="Q126" s="582"/>
      <c r="R126" s="582"/>
      <c r="S126" s="582"/>
      <c r="T126" s="582"/>
      <c r="U126" s="582"/>
      <c r="V126" s="582"/>
    </row>
    <row r="127" spans="3:23" ht="15.75" thickBot="1" x14ac:dyDescent="0.25">
      <c r="J127" s="179"/>
      <c r="V127" s="172"/>
    </row>
    <row r="128" spans="3:23" x14ac:dyDescent="0.2">
      <c r="J128" s="179"/>
      <c r="K128" s="598" t="s">
        <v>28</v>
      </c>
      <c r="L128" s="599"/>
      <c r="M128" s="600"/>
      <c r="N128" s="643" t="s">
        <v>29</v>
      </c>
      <c r="O128" s="592"/>
      <c r="P128" s="592" t="s">
        <v>193</v>
      </c>
      <c r="Q128" s="592"/>
      <c r="R128" s="594" t="s">
        <v>30</v>
      </c>
      <c r="S128" s="594" t="s">
        <v>152</v>
      </c>
      <c r="T128" s="594" t="s">
        <v>31</v>
      </c>
      <c r="U128" s="742" t="s">
        <v>194</v>
      </c>
      <c r="V128" s="609" t="s">
        <v>200</v>
      </c>
    </row>
    <row r="129" spans="2:22" ht="15.75" thickBot="1" x14ac:dyDescent="0.25">
      <c r="J129" s="179"/>
      <c r="K129" s="744"/>
      <c r="L129" s="745"/>
      <c r="M129" s="746"/>
      <c r="N129" s="646"/>
      <c r="O129" s="593"/>
      <c r="P129" s="593"/>
      <c r="Q129" s="593"/>
      <c r="R129" s="595"/>
      <c r="S129" s="595"/>
      <c r="T129" s="595"/>
      <c r="U129" s="743"/>
      <c r="V129" s="610"/>
    </row>
    <row r="130" spans="2:22" ht="16.5" thickBot="1" x14ac:dyDescent="0.3">
      <c r="B130" s="590" t="s">
        <v>21</v>
      </c>
      <c r="C130" s="591"/>
      <c r="D130" s="596" t="s">
        <v>22</v>
      </c>
      <c r="E130" s="597"/>
      <c r="G130" s="598" t="s">
        <v>23</v>
      </c>
      <c r="H130" s="599"/>
      <c r="I130" s="600"/>
      <c r="J130" s="179"/>
      <c r="K130" s="735" t="s">
        <v>38</v>
      </c>
      <c r="L130" s="736"/>
      <c r="M130" s="737"/>
      <c r="N130" s="738" t="e">
        <f>+D132</f>
        <v>#DIV/0!</v>
      </c>
      <c r="O130" s="739"/>
      <c r="P130" s="740">
        <f>+H132</f>
        <v>2</v>
      </c>
      <c r="Q130" s="741"/>
      <c r="R130" s="265" t="e">
        <f>+N130/P130</f>
        <v>#DIV/0!</v>
      </c>
      <c r="S130" s="729" t="e">
        <f>+R130/R131</f>
        <v>#DIV/0!</v>
      </c>
      <c r="T130" s="731" t="e">
        <f>+SQRT(R131)</f>
        <v>#DIV/0!</v>
      </c>
      <c r="U130" s="733" t="e">
        <f>FDIST(S130,P130,P131)</f>
        <v>#DIV/0!</v>
      </c>
      <c r="V130" s="611" t="e">
        <f>_xlfn.F.INV.RT(0.05,H132,H131)</f>
        <v>#NUM!</v>
      </c>
    </row>
    <row r="131" spans="2:22" ht="20.25" customHeight="1" x14ac:dyDescent="0.25">
      <c r="B131" s="355" t="s">
        <v>25</v>
      </c>
      <c r="C131" s="356" t="s">
        <v>26</v>
      </c>
      <c r="D131" s="773" t="e">
        <f>+E123</f>
        <v>#DIV/0!</v>
      </c>
      <c r="E131" s="774"/>
      <c r="G131" s="245" t="s">
        <v>27</v>
      </c>
      <c r="H131" s="749">
        <f>+W24-1</f>
        <v>-1</v>
      </c>
      <c r="I131" s="750"/>
      <c r="J131" s="179"/>
      <c r="K131" s="753" t="s">
        <v>65</v>
      </c>
      <c r="L131" s="754"/>
      <c r="M131" s="755"/>
      <c r="N131" s="756" t="e">
        <f>+D133</f>
        <v>#DIV/0!</v>
      </c>
      <c r="O131" s="757"/>
      <c r="P131" s="758">
        <f>+H133</f>
        <v>-3</v>
      </c>
      <c r="Q131" s="759"/>
      <c r="R131" s="244" t="e">
        <f>+N131/P131</f>
        <v>#DIV/0!</v>
      </c>
      <c r="S131" s="729"/>
      <c r="T131" s="731"/>
      <c r="U131" s="733"/>
      <c r="V131" s="612"/>
    </row>
    <row r="132" spans="2:22" ht="19.5" customHeight="1" thickBot="1" x14ac:dyDescent="0.3">
      <c r="B132" s="357" t="s">
        <v>32</v>
      </c>
      <c r="C132" s="358" t="s">
        <v>33</v>
      </c>
      <c r="D132" s="771" t="e">
        <f>+M123</f>
        <v>#DIV/0!</v>
      </c>
      <c r="E132" s="772"/>
      <c r="G132" s="245" t="s">
        <v>34</v>
      </c>
      <c r="H132" s="747">
        <f>+W25-1</f>
        <v>2</v>
      </c>
      <c r="I132" s="748"/>
      <c r="J132" s="179"/>
      <c r="K132" s="760" t="s">
        <v>25</v>
      </c>
      <c r="L132" s="761"/>
      <c r="M132" s="762"/>
      <c r="N132" s="763" t="e">
        <f>+D131</f>
        <v>#DIV/0!</v>
      </c>
      <c r="O132" s="764"/>
      <c r="P132" s="765">
        <f>+H131</f>
        <v>-1</v>
      </c>
      <c r="Q132" s="766"/>
      <c r="R132" s="306"/>
      <c r="S132" s="730"/>
      <c r="T132" s="732"/>
      <c r="U132" s="734"/>
      <c r="V132" s="613"/>
    </row>
    <row r="133" spans="2:22" ht="15.75" x14ac:dyDescent="0.2">
      <c r="B133" s="357" t="s">
        <v>35</v>
      </c>
      <c r="C133" s="358" t="s">
        <v>36</v>
      </c>
      <c r="D133" s="767" t="e">
        <f>+T123</f>
        <v>#DIV/0!</v>
      </c>
      <c r="E133" s="768"/>
      <c r="G133" s="245" t="s">
        <v>37</v>
      </c>
      <c r="H133" s="769">
        <f>+H131-H132</f>
        <v>-3</v>
      </c>
      <c r="I133" s="770"/>
      <c r="J133" s="179"/>
      <c r="K133" s="153"/>
      <c r="L133" s="153"/>
      <c r="M133" s="153"/>
      <c r="N133" s="153"/>
      <c r="O133" s="153"/>
      <c r="P133" s="153"/>
      <c r="Q133" s="153"/>
      <c r="R133" s="153"/>
      <c r="S133" s="192"/>
      <c r="T133" s="192"/>
      <c r="U133" s="153"/>
      <c r="V133" s="172"/>
    </row>
    <row r="134" spans="2:22" ht="15.75" thickBot="1" x14ac:dyDescent="0.25">
      <c r="B134" s="247"/>
      <c r="C134" s="248"/>
      <c r="D134" s="751" t="e">
        <f>+D131-D132-D133</f>
        <v>#DIV/0!</v>
      </c>
      <c r="E134" s="752"/>
      <c r="G134" s="246"/>
      <c r="H134" s="318"/>
      <c r="I134" s="319"/>
      <c r="J134" s="179"/>
      <c r="K134" s="153"/>
      <c r="L134" s="153"/>
      <c r="M134" s="153"/>
      <c r="N134" s="153"/>
      <c r="O134" s="153"/>
      <c r="P134" s="153"/>
      <c r="Q134" s="153"/>
      <c r="R134" s="153"/>
      <c r="S134" s="153"/>
      <c r="T134" s="153"/>
      <c r="U134" s="153"/>
      <c r="V134" s="172"/>
    </row>
    <row r="135" spans="2:22" ht="35.1" customHeight="1" thickBot="1" x14ac:dyDescent="0.25">
      <c r="J135" s="581" t="s">
        <v>59</v>
      </c>
      <c r="K135" s="582"/>
      <c r="L135" s="582"/>
      <c r="M135" s="582"/>
      <c r="N135" s="582"/>
      <c r="O135" s="582"/>
      <c r="P135" s="582"/>
      <c r="Q135" s="582"/>
      <c r="R135" s="582"/>
      <c r="S135" s="582"/>
      <c r="T135" s="582"/>
      <c r="U135" s="582"/>
      <c r="V135" s="583"/>
    </row>
    <row r="136" spans="2:22" ht="16.5" thickBot="1" x14ac:dyDescent="0.3">
      <c r="J136" s="179"/>
      <c r="K136" s="153"/>
      <c r="L136" s="153"/>
      <c r="M136" s="347"/>
      <c r="N136" s="347"/>
      <c r="O136" s="347"/>
      <c r="P136" s="347"/>
      <c r="Q136" s="347"/>
      <c r="R136" s="347"/>
      <c r="S136" s="347"/>
      <c r="T136" s="153"/>
      <c r="U136" s="153"/>
      <c r="V136" s="172"/>
    </row>
    <row r="137" spans="2:22" x14ac:dyDescent="0.2">
      <c r="J137" s="200"/>
      <c r="K137" s="266"/>
      <c r="L137" s="266"/>
      <c r="M137" s="266"/>
      <c r="N137" s="266"/>
      <c r="O137" s="266"/>
      <c r="P137" s="266"/>
      <c r="Q137" s="266"/>
      <c r="R137" s="266"/>
      <c r="S137" s="266"/>
      <c r="T137" s="266"/>
      <c r="U137" s="266"/>
      <c r="V137" s="171"/>
    </row>
    <row r="138" spans="2:22" ht="15.75" customHeight="1" x14ac:dyDescent="0.2">
      <c r="J138" s="179"/>
      <c r="K138" s="153"/>
      <c r="L138" s="153"/>
      <c r="M138" s="153"/>
      <c r="N138" s="153"/>
      <c r="O138" s="153"/>
      <c r="P138" s="153"/>
      <c r="Q138" s="153"/>
      <c r="R138" s="153"/>
      <c r="S138" s="153"/>
      <c r="T138" s="153"/>
      <c r="U138" s="153"/>
      <c r="V138" s="172"/>
    </row>
    <row r="139" spans="2:22" ht="15.75" customHeight="1" x14ac:dyDescent="0.2">
      <c r="J139" s="179"/>
      <c r="K139" s="153"/>
      <c r="L139" s="153"/>
      <c r="M139" s="153"/>
      <c r="N139" s="153"/>
      <c r="O139" s="153"/>
      <c r="P139" s="153"/>
      <c r="Q139" s="153"/>
      <c r="R139" s="153"/>
      <c r="S139" s="153"/>
      <c r="T139" s="153"/>
      <c r="U139" s="153"/>
      <c r="V139" s="172"/>
    </row>
    <row r="140" spans="2:22" ht="15.75" customHeight="1" x14ac:dyDescent="0.2">
      <c r="J140" s="179"/>
      <c r="K140" s="153"/>
      <c r="L140" s="153"/>
      <c r="M140" s="153"/>
      <c r="N140" s="153"/>
      <c r="O140" s="153"/>
      <c r="P140" s="153"/>
      <c r="Q140" s="153"/>
      <c r="R140" s="153"/>
      <c r="S140" s="153"/>
      <c r="T140" s="153"/>
      <c r="U140" s="153"/>
      <c r="V140" s="172"/>
    </row>
    <row r="141" spans="2:22" ht="15.75" customHeight="1" x14ac:dyDescent="0.2">
      <c r="J141" s="179"/>
      <c r="K141" s="153"/>
      <c r="L141" s="153"/>
      <c r="M141" s="153"/>
      <c r="N141" s="153"/>
      <c r="O141" s="153"/>
      <c r="P141" s="153"/>
      <c r="Q141" s="153"/>
      <c r="R141" s="153"/>
      <c r="S141" s="153"/>
      <c r="T141" s="153"/>
      <c r="U141" s="153"/>
      <c r="V141" s="172"/>
    </row>
    <row r="142" spans="2:22" ht="15.75" customHeight="1" x14ac:dyDescent="0.2">
      <c r="J142" s="179"/>
      <c r="K142" s="153"/>
      <c r="L142" s="153"/>
      <c r="M142" s="153"/>
      <c r="N142" s="153"/>
      <c r="O142" s="153"/>
      <c r="P142" s="153"/>
      <c r="Q142" s="153"/>
      <c r="R142" s="153"/>
      <c r="S142" s="153"/>
      <c r="T142" s="153"/>
      <c r="U142" s="153"/>
      <c r="V142" s="172"/>
    </row>
    <row r="143" spans="2:22" ht="15.75" customHeight="1" x14ac:dyDescent="0.2">
      <c r="J143" s="179"/>
      <c r="K143" s="153"/>
      <c r="L143" s="153"/>
      <c r="M143" s="153"/>
      <c r="N143" s="153"/>
      <c r="O143" s="153"/>
      <c r="P143" s="153"/>
      <c r="Q143" s="153"/>
      <c r="R143" s="153"/>
      <c r="S143" s="153"/>
      <c r="T143" s="153"/>
      <c r="U143" s="153"/>
      <c r="V143" s="172"/>
    </row>
    <row r="144" spans="2:22" x14ac:dyDescent="0.2">
      <c r="D144" s="618"/>
      <c r="E144" s="618"/>
      <c r="F144" s="618"/>
      <c r="G144" s="618"/>
      <c r="J144" s="179"/>
      <c r="K144" s="153"/>
      <c r="L144" s="153"/>
      <c r="M144" s="153"/>
      <c r="N144" s="153"/>
      <c r="O144" s="153"/>
      <c r="P144" s="153"/>
      <c r="Q144" s="153"/>
      <c r="R144" s="153"/>
      <c r="S144" s="153"/>
      <c r="T144" s="153"/>
      <c r="U144" s="153"/>
      <c r="V144" s="172"/>
    </row>
    <row r="145" spans="1:249" x14ac:dyDescent="0.2">
      <c r="J145" s="179"/>
      <c r="K145" s="153"/>
      <c r="L145" s="153"/>
      <c r="M145" s="153"/>
      <c r="N145" s="153"/>
      <c r="O145" s="153"/>
      <c r="P145" s="153"/>
      <c r="Q145" s="153"/>
      <c r="R145" s="153"/>
      <c r="S145" s="153"/>
      <c r="T145" s="153"/>
      <c r="U145" s="153"/>
      <c r="V145" s="172"/>
    </row>
    <row r="146" spans="1:249" x14ac:dyDescent="0.2">
      <c r="C146" s="173"/>
      <c r="J146" s="179"/>
      <c r="K146" s="153"/>
      <c r="L146" s="153"/>
      <c r="M146" s="153"/>
      <c r="N146" s="153"/>
      <c r="O146" s="153"/>
      <c r="P146" s="153"/>
      <c r="Q146" s="153"/>
      <c r="R146" s="153"/>
      <c r="S146" s="153"/>
      <c r="T146" s="153"/>
      <c r="U146" s="153"/>
      <c r="V146" s="172"/>
    </row>
    <row r="147" spans="1:249" ht="23.25" customHeight="1" x14ac:dyDescent="0.2">
      <c r="C147" s="173"/>
      <c r="J147" s="179"/>
      <c r="K147" s="153"/>
      <c r="L147" s="153"/>
      <c r="M147" s="153"/>
      <c r="N147" s="153"/>
      <c r="O147" s="153"/>
      <c r="P147" s="153"/>
      <c r="Q147" s="153"/>
      <c r="R147" s="153"/>
      <c r="S147" s="153"/>
      <c r="T147" s="153"/>
      <c r="U147" s="153"/>
      <c r="V147" s="172"/>
    </row>
    <row r="148" spans="1:249" ht="18" customHeight="1" x14ac:dyDescent="0.2">
      <c r="J148" s="179"/>
      <c r="K148" s="153"/>
      <c r="L148" s="153"/>
      <c r="M148" s="153"/>
      <c r="N148" s="153"/>
      <c r="O148" s="153"/>
      <c r="P148" s="153"/>
      <c r="Q148" s="153"/>
      <c r="R148" s="153"/>
      <c r="S148" s="153"/>
      <c r="T148" s="153"/>
      <c r="U148" s="153"/>
      <c r="V148" s="172"/>
    </row>
    <row r="149" spans="1:249" ht="27" customHeight="1" x14ac:dyDescent="0.2">
      <c r="J149" s="179"/>
      <c r="K149" s="153"/>
      <c r="L149" s="153"/>
      <c r="M149" s="153"/>
      <c r="N149" s="153"/>
      <c r="O149" s="153"/>
      <c r="P149" s="153"/>
      <c r="Q149" s="153"/>
      <c r="R149" s="153"/>
      <c r="S149" s="153"/>
      <c r="T149" s="153"/>
      <c r="U149" s="153"/>
      <c r="V149" s="172"/>
    </row>
    <row r="150" spans="1:249" ht="15.75" customHeight="1" x14ac:dyDescent="0.2">
      <c r="J150" s="179"/>
      <c r="K150" s="153"/>
      <c r="L150" s="153"/>
      <c r="M150" s="153"/>
      <c r="N150" s="153"/>
      <c r="O150" s="153"/>
      <c r="P150" s="153"/>
      <c r="Q150" s="153"/>
      <c r="R150" s="153"/>
      <c r="S150" s="153"/>
      <c r="T150" s="153"/>
      <c r="U150" s="153"/>
      <c r="V150" s="172"/>
    </row>
    <row r="151" spans="1:249" ht="15.75" customHeight="1" x14ac:dyDescent="0.2">
      <c r="J151" s="179"/>
      <c r="K151" s="153"/>
      <c r="L151" s="153"/>
      <c r="M151" s="153"/>
      <c r="N151" s="153"/>
      <c r="O151" s="153"/>
      <c r="P151" s="153"/>
      <c r="Q151" s="153"/>
      <c r="R151" s="153"/>
      <c r="S151" s="153"/>
      <c r="T151" s="153"/>
      <c r="U151" s="153"/>
      <c r="V151" s="172"/>
    </row>
    <row r="152" spans="1:249" x14ac:dyDescent="0.2">
      <c r="J152" s="179"/>
      <c r="K152" s="153"/>
      <c r="L152" s="153"/>
      <c r="M152" s="153"/>
      <c r="N152" s="153"/>
      <c r="O152" s="153"/>
      <c r="P152" s="153"/>
      <c r="Q152" s="153"/>
      <c r="R152" s="153"/>
      <c r="S152" s="153"/>
      <c r="T152" s="153"/>
      <c r="U152" s="153"/>
      <c r="V152" s="172"/>
    </row>
    <row r="153" spans="1:249" ht="30.95" customHeight="1" thickBot="1" x14ac:dyDescent="0.25">
      <c r="J153" s="193"/>
      <c r="K153" s="181"/>
      <c r="L153" s="153"/>
      <c r="M153" s="153"/>
      <c r="N153" s="153"/>
      <c r="O153" s="153"/>
      <c r="P153" s="153"/>
      <c r="Q153" s="153"/>
      <c r="R153" s="153"/>
      <c r="S153" s="153"/>
      <c r="T153" s="153"/>
      <c r="U153" s="181"/>
      <c r="V153" s="194"/>
    </row>
    <row r="154" spans="1:249" s="188" customFormat="1" ht="35.1" customHeight="1" thickBot="1" x14ac:dyDescent="0.25">
      <c r="A154" s="151"/>
      <c r="B154" s="581" t="s">
        <v>205</v>
      </c>
      <c r="C154" s="582"/>
      <c r="D154" s="582"/>
      <c r="E154" s="582"/>
      <c r="F154" s="582"/>
      <c r="G154" s="582"/>
      <c r="H154" s="582"/>
      <c r="I154" s="582"/>
      <c r="J154" s="582"/>
      <c r="K154" s="582"/>
      <c r="L154" s="582"/>
      <c r="M154" s="582"/>
      <c r="N154" s="582"/>
      <c r="O154" s="582"/>
      <c r="P154" s="582"/>
      <c r="Q154" s="582"/>
      <c r="R154" s="582"/>
      <c r="S154" s="582"/>
      <c r="T154" s="582"/>
      <c r="U154" s="582"/>
      <c r="V154" s="582"/>
      <c r="W154" s="582"/>
      <c r="X154" s="582"/>
      <c r="Y154" s="582"/>
      <c r="Z154" s="582"/>
      <c r="AA154" s="582"/>
      <c r="AB154" s="582"/>
      <c r="AC154" s="582"/>
      <c r="AD154" s="582"/>
      <c r="AE154" s="582"/>
      <c r="AF154" s="582"/>
      <c r="AG154" s="582"/>
      <c r="AH154" s="582"/>
      <c r="AI154" s="582"/>
      <c r="AJ154" s="583"/>
      <c r="AK154" s="151"/>
      <c r="AL154" s="151"/>
      <c r="AM154" s="151"/>
      <c r="AN154" s="151"/>
      <c r="AO154" s="151"/>
      <c r="AP154" s="151"/>
      <c r="AQ154" s="151"/>
      <c r="AR154" s="151"/>
      <c r="AS154" s="151"/>
      <c r="AT154" s="151"/>
      <c r="AU154" s="151"/>
      <c r="AV154" s="151"/>
      <c r="AW154" s="151"/>
      <c r="AX154" s="151"/>
      <c r="AY154" s="151"/>
      <c r="AZ154" s="151"/>
      <c r="BA154" s="151"/>
      <c r="BB154" s="151"/>
      <c r="BC154" s="151"/>
      <c r="BD154" s="151"/>
      <c r="BE154" s="151"/>
      <c r="BF154" s="151"/>
      <c r="BG154" s="151"/>
      <c r="BH154" s="151"/>
      <c r="BI154" s="151"/>
      <c r="BJ154" s="151"/>
      <c r="BK154" s="151"/>
      <c r="BL154" s="151"/>
      <c r="BM154" s="151"/>
      <c r="BN154" s="151"/>
      <c r="BO154" s="151"/>
      <c r="BP154" s="151"/>
      <c r="BQ154" s="151"/>
      <c r="BR154" s="151"/>
      <c r="BS154" s="151"/>
      <c r="BT154" s="151"/>
      <c r="BU154" s="151"/>
      <c r="BV154" s="151"/>
      <c r="BW154" s="151"/>
      <c r="BX154" s="151"/>
      <c r="BY154" s="151"/>
      <c r="BZ154" s="151"/>
      <c r="CA154" s="151"/>
      <c r="CB154" s="151"/>
      <c r="CC154" s="151"/>
      <c r="CD154" s="151"/>
      <c r="CE154" s="151"/>
      <c r="CF154" s="151"/>
      <c r="CG154" s="151"/>
      <c r="CH154" s="151"/>
      <c r="CI154" s="151"/>
      <c r="CJ154" s="151"/>
      <c r="CK154" s="151"/>
      <c r="CL154" s="151"/>
      <c r="CM154" s="151"/>
      <c r="CN154" s="151"/>
      <c r="CO154" s="151"/>
      <c r="CP154" s="151"/>
      <c r="CQ154" s="151"/>
      <c r="CR154" s="151"/>
      <c r="CS154" s="151"/>
      <c r="CT154" s="151"/>
      <c r="CU154" s="151"/>
      <c r="CV154" s="151"/>
      <c r="CW154" s="151"/>
      <c r="CX154" s="151"/>
      <c r="CY154" s="151"/>
      <c r="CZ154" s="151"/>
      <c r="DA154" s="151"/>
      <c r="DB154" s="151"/>
      <c r="DC154" s="151"/>
      <c r="DD154" s="151"/>
      <c r="DE154" s="151"/>
      <c r="DF154" s="151"/>
      <c r="DG154" s="151"/>
      <c r="DH154" s="151"/>
      <c r="DI154" s="151"/>
      <c r="DJ154" s="151"/>
      <c r="DK154" s="151"/>
      <c r="DL154" s="151"/>
      <c r="DM154" s="151"/>
      <c r="DN154" s="151"/>
      <c r="DO154" s="151"/>
      <c r="DP154" s="151"/>
      <c r="DQ154" s="151"/>
      <c r="DR154" s="151"/>
      <c r="DS154" s="151"/>
      <c r="DT154" s="151"/>
      <c r="DU154" s="151"/>
      <c r="DV154" s="151"/>
      <c r="DW154" s="151"/>
      <c r="DX154" s="151"/>
      <c r="DY154" s="151"/>
      <c r="DZ154" s="151"/>
      <c r="EA154" s="151"/>
      <c r="EB154" s="151"/>
      <c r="EC154" s="151"/>
      <c r="ED154" s="151"/>
      <c r="EE154" s="151"/>
      <c r="EF154" s="151"/>
      <c r="EG154" s="151"/>
      <c r="EH154" s="151"/>
      <c r="EI154" s="151"/>
      <c r="EJ154" s="151"/>
      <c r="EK154" s="151"/>
      <c r="EL154" s="151"/>
      <c r="EM154" s="151"/>
      <c r="EN154" s="151"/>
      <c r="EO154" s="151"/>
      <c r="EP154" s="151"/>
      <c r="EQ154" s="151"/>
      <c r="ER154" s="151"/>
      <c r="ES154" s="151"/>
      <c r="ET154" s="151"/>
      <c r="EU154" s="151"/>
      <c r="EV154" s="151"/>
      <c r="EW154" s="151"/>
      <c r="EX154" s="151"/>
      <c r="EY154" s="151"/>
      <c r="EZ154" s="151"/>
      <c r="FA154" s="151"/>
      <c r="FB154" s="151"/>
      <c r="FC154" s="151"/>
      <c r="FD154" s="151"/>
      <c r="FE154" s="151"/>
      <c r="FF154" s="151"/>
      <c r="FG154" s="151"/>
      <c r="FH154" s="151"/>
      <c r="FI154" s="151"/>
      <c r="FJ154" s="151"/>
      <c r="FK154" s="151"/>
      <c r="FL154" s="151"/>
      <c r="FM154" s="151"/>
      <c r="FN154" s="151"/>
      <c r="FO154" s="151"/>
      <c r="FP154" s="151"/>
      <c r="FQ154" s="151"/>
      <c r="FR154" s="151"/>
      <c r="FS154" s="151"/>
      <c r="FT154" s="151"/>
      <c r="FU154" s="151"/>
      <c r="FV154" s="151"/>
      <c r="FW154" s="151"/>
      <c r="FX154" s="151"/>
      <c r="FY154" s="151"/>
      <c r="FZ154" s="151"/>
      <c r="GA154" s="151"/>
      <c r="GB154" s="151"/>
      <c r="GC154" s="151"/>
      <c r="GD154" s="151"/>
      <c r="GE154" s="151"/>
      <c r="GF154" s="151"/>
      <c r="GG154" s="151"/>
      <c r="GH154" s="151"/>
      <c r="GI154" s="151"/>
      <c r="GJ154" s="151"/>
      <c r="GK154" s="151"/>
      <c r="GL154" s="151"/>
      <c r="GM154" s="151"/>
      <c r="GN154" s="151"/>
      <c r="GO154" s="151"/>
      <c r="GP154" s="151"/>
      <c r="GQ154" s="151"/>
      <c r="GR154" s="151"/>
      <c r="GS154" s="151"/>
      <c r="GT154" s="151"/>
      <c r="GU154" s="151"/>
      <c r="GV154" s="151"/>
      <c r="GW154" s="151"/>
      <c r="GX154" s="151"/>
      <c r="GY154" s="151"/>
      <c r="GZ154" s="151"/>
      <c r="HA154" s="151"/>
      <c r="HB154" s="151"/>
      <c r="HC154" s="151"/>
      <c r="HD154" s="151"/>
      <c r="HE154" s="151"/>
      <c r="HF154" s="151"/>
      <c r="HG154" s="151"/>
      <c r="HH154" s="151"/>
      <c r="HI154" s="151"/>
      <c r="HJ154" s="151"/>
      <c r="HK154" s="151"/>
      <c r="HL154" s="151"/>
      <c r="HM154" s="151"/>
      <c r="HN154" s="151"/>
      <c r="HO154" s="151"/>
      <c r="HP154" s="151"/>
      <c r="HQ154" s="151"/>
      <c r="HR154" s="151"/>
      <c r="HS154" s="151"/>
      <c r="HT154" s="151"/>
      <c r="HU154" s="151"/>
      <c r="HV154" s="151"/>
      <c r="HW154" s="151"/>
      <c r="HX154" s="151"/>
      <c r="HY154" s="151"/>
      <c r="HZ154" s="151"/>
      <c r="IA154" s="151"/>
      <c r="IB154" s="151"/>
      <c r="IC154" s="151"/>
      <c r="ID154" s="151"/>
      <c r="IE154" s="151"/>
      <c r="IF154" s="151"/>
      <c r="IG154" s="151"/>
      <c r="IH154" s="151"/>
      <c r="II154" s="151"/>
      <c r="IJ154" s="151"/>
      <c r="IK154" s="151"/>
      <c r="IL154" s="151"/>
      <c r="IM154" s="151"/>
      <c r="IN154" s="151"/>
      <c r="IO154" s="151"/>
    </row>
    <row r="155" spans="1:249" s="153" customFormat="1" ht="35.1" customHeight="1" x14ac:dyDescent="0.2">
      <c r="A155" s="151"/>
      <c r="B155" s="189"/>
      <c r="C155" s="189"/>
      <c r="D155" s="189"/>
      <c r="E155" s="189"/>
      <c r="F155" s="189"/>
      <c r="G155" s="189"/>
      <c r="H155" s="189"/>
      <c r="I155" s="189"/>
      <c r="J155" s="189"/>
      <c r="K155" s="189"/>
      <c r="L155" s="189"/>
      <c r="M155" s="189"/>
      <c r="N155" s="189"/>
      <c r="O155" s="189"/>
      <c r="P155" s="189"/>
      <c r="Q155" s="189"/>
      <c r="R155" s="189"/>
      <c r="S155" s="189"/>
      <c r="T155" s="189"/>
      <c r="U155" s="189"/>
      <c r="V155" s="189"/>
      <c r="W155" s="189"/>
      <c r="X155" s="189"/>
      <c r="Y155" s="189"/>
      <c r="Z155" s="189"/>
      <c r="AA155" s="189"/>
      <c r="AB155" s="189"/>
      <c r="AC155" s="189"/>
      <c r="AD155" s="189"/>
      <c r="AE155" s="189"/>
      <c r="AF155" s="189"/>
      <c r="AG155" s="189"/>
      <c r="AH155" s="189"/>
      <c r="AI155" s="189"/>
      <c r="AJ155" s="189"/>
      <c r="AK155" s="151"/>
      <c r="AL155" s="151"/>
      <c r="AM155" s="151"/>
      <c r="AN155" s="151"/>
      <c r="AO155" s="151"/>
      <c r="AP155" s="151"/>
      <c r="AQ155" s="151"/>
      <c r="AR155" s="151"/>
      <c r="AS155" s="151"/>
      <c r="AT155" s="151"/>
      <c r="AU155" s="151"/>
      <c r="AV155" s="151"/>
      <c r="AW155" s="151"/>
      <c r="AX155" s="151"/>
      <c r="AY155" s="151"/>
      <c r="AZ155" s="151"/>
      <c r="BA155" s="151"/>
      <c r="BB155" s="151"/>
      <c r="BC155" s="151"/>
      <c r="BD155" s="151"/>
      <c r="BE155" s="151"/>
      <c r="BF155" s="151"/>
      <c r="BG155" s="151"/>
      <c r="BH155" s="151"/>
      <c r="BI155" s="151"/>
      <c r="BJ155" s="151"/>
      <c r="BK155" s="151"/>
      <c r="BL155" s="151"/>
      <c r="BM155" s="151"/>
      <c r="BN155" s="151"/>
      <c r="BO155" s="151"/>
      <c r="BP155" s="151"/>
      <c r="BQ155" s="151"/>
      <c r="BR155" s="151"/>
      <c r="BS155" s="151"/>
      <c r="BT155" s="151"/>
      <c r="BU155" s="151"/>
      <c r="BV155" s="151"/>
      <c r="BW155" s="151"/>
      <c r="BX155" s="151"/>
      <c r="BY155" s="151"/>
      <c r="BZ155" s="151"/>
      <c r="CA155" s="151"/>
      <c r="CB155" s="151"/>
      <c r="CC155" s="151"/>
      <c r="CD155" s="151"/>
      <c r="CE155" s="151"/>
      <c r="CF155" s="151"/>
      <c r="CG155" s="151"/>
      <c r="CH155" s="151"/>
      <c r="CI155" s="151"/>
      <c r="CJ155" s="151"/>
      <c r="CK155" s="151"/>
      <c r="CL155" s="151"/>
      <c r="CM155" s="151"/>
      <c r="CN155" s="151"/>
      <c r="CO155" s="151"/>
      <c r="CP155" s="151"/>
      <c r="CQ155" s="151"/>
      <c r="CR155" s="151"/>
      <c r="CS155" s="151"/>
      <c r="CT155" s="151"/>
      <c r="CU155" s="151"/>
      <c r="CV155" s="151"/>
      <c r="CW155" s="151"/>
      <c r="CX155" s="151"/>
      <c r="CY155" s="151"/>
      <c r="CZ155" s="151"/>
      <c r="DA155" s="151"/>
      <c r="DB155" s="151"/>
      <c r="DC155" s="151"/>
      <c r="DD155" s="151"/>
      <c r="DE155" s="151"/>
      <c r="DF155" s="151"/>
      <c r="DG155" s="151"/>
      <c r="DH155" s="151"/>
      <c r="DI155" s="151"/>
      <c r="DJ155" s="151"/>
      <c r="DK155" s="151"/>
      <c r="DL155" s="151"/>
      <c r="DM155" s="151"/>
      <c r="DN155" s="151"/>
      <c r="DO155" s="151"/>
      <c r="DP155" s="151"/>
      <c r="DQ155" s="151"/>
      <c r="DR155" s="151"/>
      <c r="DS155" s="151"/>
      <c r="DT155" s="151"/>
      <c r="DU155" s="151"/>
      <c r="DV155" s="151"/>
      <c r="DW155" s="151"/>
      <c r="DX155" s="151"/>
      <c r="DY155" s="151"/>
      <c r="DZ155" s="151"/>
      <c r="EA155" s="151"/>
      <c r="EB155" s="151"/>
      <c r="EC155" s="151"/>
      <c r="ED155" s="151"/>
      <c r="EE155" s="151"/>
      <c r="EF155" s="151"/>
      <c r="EG155" s="151"/>
      <c r="EH155" s="151"/>
      <c r="EI155" s="151"/>
      <c r="EJ155" s="151"/>
      <c r="EK155" s="151"/>
      <c r="EL155" s="151"/>
      <c r="EM155" s="151"/>
      <c r="EN155" s="151"/>
      <c r="EO155" s="151"/>
      <c r="EP155" s="151"/>
      <c r="EQ155" s="151"/>
      <c r="ER155" s="151"/>
      <c r="ES155" s="151"/>
      <c r="ET155" s="151"/>
      <c r="EU155" s="151"/>
      <c r="EV155" s="151"/>
      <c r="EW155" s="151"/>
      <c r="EX155" s="151"/>
      <c r="EY155" s="151"/>
      <c r="EZ155" s="151"/>
      <c r="FA155" s="151"/>
      <c r="FB155" s="151"/>
      <c r="FC155" s="151"/>
      <c r="FD155" s="151"/>
      <c r="FE155" s="151"/>
      <c r="FF155" s="151"/>
      <c r="FG155" s="151"/>
      <c r="FH155" s="151"/>
      <c r="FI155" s="151"/>
      <c r="FJ155" s="151"/>
      <c r="FK155" s="151"/>
      <c r="FL155" s="151"/>
      <c r="FM155" s="151"/>
      <c r="FN155" s="151"/>
      <c r="FO155" s="151"/>
      <c r="FP155" s="151"/>
      <c r="FQ155" s="151"/>
      <c r="FR155" s="151"/>
      <c r="FS155" s="151"/>
      <c r="FT155" s="151"/>
      <c r="FU155" s="151"/>
      <c r="FV155" s="151"/>
      <c r="FW155" s="151"/>
      <c r="FX155" s="151"/>
      <c r="FY155" s="151"/>
      <c r="FZ155" s="151"/>
      <c r="GA155" s="151"/>
      <c r="GB155" s="151"/>
      <c r="GC155" s="151"/>
      <c r="GD155" s="151"/>
      <c r="GE155" s="151"/>
      <c r="GF155" s="151"/>
      <c r="GG155" s="151"/>
      <c r="GH155" s="151"/>
      <c r="GI155" s="151"/>
      <c r="GJ155" s="151"/>
      <c r="GK155" s="151"/>
      <c r="GL155" s="151"/>
      <c r="GM155" s="151"/>
      <c r="GN155" s="151"/>
      <c r="GO155" s="151"/>
      <c r="GP155" s="151"/>
      <c r="GQ155" s="151"/>
      <c r="GR155" s="151"/>
      <c r="GS155" s="151"/>
      <c r="GT155" s="151"/>
      <c r="GU155" s="151"/>
      <c r="GV155" s="151"/>
      <c r="GW155" s="151"/>
      <c r="GX155" s="151"/>
      <c r="GY155" s="151"/>
      <c r="GZ155" s="151"/>
      <c r="HA155" s="151"/>
      <c r="HB155" s="151"/>
      <c r="HC155" s="151"/>
      <c r="HD155" s="151"/>
      <c r="HE155" s="151"/>
      <c r="HF155" s="151"/>
      <c r="HG155" s="151"/>
      <c r="HH155" s="151"/>
      <c r="HI155" s="151"/>
      <c r="HJ155" s="151"/>
      <c r="HK155" s="151"/>
      <c r="HL155" s="151"/>
      <c r="HM155" s="151"/>
      <c r="HN155" s="151"/>
      <c r="HO155" s="151"/>
      <c r="HP155" s="151"/>
      <c r="HQ155" s="151"/>
      <c r="HR155" s="151"/>
      <c r="HS155" s="151"/>
      <c r="HT155" s="151"/>
      <c r="HU155" s="151"/>
      <c r="HV155" s="151"/>
      <c r="HW155" s="151"/>
      <c r="HX155" s="151"/>
      <c r="HY155" s="151"/>
      <c r="HZ155" s="151"/>
      <c r="IA155" s="151"/>
      <c r="IB155" s="151"/>
      <c r="IC155" s="151"/>
      <c r="ID155" s="151"/>
      <c r="IE155" s="151"/>
      <c r="IF155" s="151"/>
      <c r="IG155" s="151"/>
      <c r="IH155" s="151"/>
      <c r="II155" s="151"/>
      <c r="IJ155" s="151"/>
      <c r="IK155" s="151"/>
      <c r="IL155" s="151"/>
      <c r="IM155" s="151"/>
      <c r="IN155" s="151"/>
      <c r="IO155" s="151"/>
    </row>
    <row r="164" spans="3:23" ht="15" customHeight="1" x14ac:dyDescent="0.2"/>
    <row r="165" spans="3:23" ht="15.75" thickBot="1" x14ac:dyDescent="0.25"/>
    <row r="166" spans="3:23" ht="22.5" customHeight="1" thickBot="1" x14ac:dyDescent="0.25">
      <c r="O166" s="625" t="s">
        <v>58</v>
      </c>
      <c r="P166" s="626"/>
      <c r="Q166" s="627"/>
    </row>
    <row r="167" spans="3:23" ht="25.5" customHeight="1" thickBot="1" x14ac:dyDescent="0.3">
      <c r="M167" s="168"/>
      <c r="O167" s="359" t="s">
        <v>8</v>
      </c>
      <c r="P167" s="360" t="s">
        <v>9</v>
      </c>
      <c r="Q167" s="361" t="s">
        <v>10</v>
      </c>
    </row>
    <row r="168" spans="3:23" ht="27" customHeight="1" thickBot="1" x14ac:dyDescent="0.3">
      <c r="D168" s="348" t="s">
        <v>8</v>
      </c>
      <c r="E168" s="349" t="s">
        <v>9</v>
      </c>
      <c r="F168" s="350" t="s">
        <v>10</v>
      </c>
      <c r="H168" s="362"/>
      <c r="I168" s="362"/>
      <c r="M168" s="168"/>
      <c r="N168" s="168"/>
      <c r="O168" s="198" t="e">
        <f>+D171</f>
        <v>#DIV/0!</v>
      </c>
      <c r="P168" s="199" t="e">
        <f>+E171</f>
        <v>#DIV/0!</v>
      </c>
      <c r="Q168" s="267" t="e">
        <f>+F171</f>
        <v>#DIV/0!</v>
      </c>
    </row>
    <row r="169" spans="3:23" ht="20.100000000000001" customHeight="1" x14ac:dyDescent="0.2">
      <c r="C169" s="263" t="s">
        <v>39</v>
      </c>
      <c r="D169" s="203" t="e">
        <f>+D171+$D$177</f>
        <v>#DIV/0!</v>
      </c>
      <c r="E169" s="195" t="e">
        <f>+E171+$D$177</f>
        <v>#DIV/0!</v>
      </c>
      <c r="F169" s="196" t="e">
        <f>+F171+$D$177</f>
        <v>#DIV/0!</v>
      </c>
      <c r="H169" s="160"/>
      <c r="I169" s="160"/>
      <c r="J169" s="167"/>
      <c r="M169" s="363" t="s">
        <v>8</v>
      </c>
      <c r="N169" s="202" t="e">
        <f>+O168</f>
        <v>#DIV/0!</v>
      </c>
      <c r="O169" s="212" t="e">
        <f>+ABS(N169-O168)</f>
        <v>#DIV/0!</v>
      </c>
      <c r="P169" s="468" t="e">
        <f>+ABS(P168-$N$169)</f>
        <v>#DIV/0!</v>
      </c>
      <c r="Q169" s="469" t="e">
        <f>+ABS(Q168-$N$169)</f>
        <v>#DIV/0!</v>
      </c>
    </row>
    <row r="170" spans="3:23" ht="20.100000000000001" customHeight="1" x14ac:dyDescent="0.2">
      <c r="C170" s="210" t="s">
        <v>157</v>
      </c>
      <c r="D170" s="182" t="e">
        <f>+D171-$D$177</f>
        <v>#DIV/0!</v>
      </c>
      <c r="E170" s="170" t="e">
        <f>+E171-$D$177</f>
        <v>#DIV/0!</v>
      </c>
      <c r="F170" s="197" t="e">
        <f>+F171-$D$177</f>
        <v>#DIV/0!</v>
      </c>
      <c r="H170" s="160"/>
      <c r="I170" s="160"/>
      <c r="M170" s="364" t="s">
        <v>9</v>
      </c>
      <c r="N170" s="185" t="e">
        <f>+P168</f>
        <v>#DIV/0!</v>
      </c>
      <c r="O170" s="213"/>
      <c r="P170" s="213" t="e">
        <f>+ABS($N$170-P168)</f>
        <v>#DIV/0!</v>
      </c>
      <c r="Q170" s="470" t="e">
        <f>+ABS($N$170-Q168)</f>
        <v>#DIV/0!</v>
      </c>
    </row>
    <row r="171" spans="3:23" ht="20.100000000000001" customHeight="1" thickBot="1" x14ac:dyDescent="0.25">
      <c r="C171" s="210" t="s">
        <v>12</v>
      </c>
      <c r="D171" s="183" t="e">
        <f>+D59</f>
        <v>#DIV/0!</v>
      </c>
      <c r="E171" s="184" t="e">
        <f>+E59</f>
        <v>#DIV/0!</v>
      </c>
      <c r="F171" s="201" t="e">
        <f>+F59</f>
        <v>#DIV/0!</v>
      </c>
      <c r="G171" s="160"/>
      <c r="I171" s="160"/>
      <c r="M171" s="365" t="s">
        <v>10</v>
      </c>
      <c r="N171" s="249" t="e">
        <f>+Q168</f>
        <v>#DIV/0!</v>
      </c>
      <c r="O171" s="214"/>
      <c r="P171" s="214"/>
      <c r="Q171" s="215" t="e">
        <f>+ABS($N$171-Q168)</f>
        <v>#DIV/0!</v>
      </c>
      <c r="T171" s="174"/>
    </row>
    <row r="172" spans="3:23" ht="20.100000000000001" customHeight="1" x14ac:dyDescent="0.2">
      <c r="C172" s="210" t="s">
        <v>16</v>
      </c>
      <c r="D172" s="619" t="e">
        <f>+D64</f>
        <v>#DIV/0!</v>
      </c>
      <c r="E172" s="620"/>
      <c r="F172" s="621"/>
      <c r="G172" s="175"/>
      <c r="H172" s="175"/>
      <c r="I172" s="175"/>
      <c r="T172" s="174"/>
      <c r="V172" s="167"/>
      <c r="W172" s="167"/>
    </row>
    <row r="173" spans="3:23" ht="20.100000000000001" customHeight="1" x14ac:dyDescent="0.2">
      <c r="C173" s="210" t="s">
        <v>40</v>
      </c>
      <c r="D173" s="622" t="e">
        <f>+R131</f>
        <v>#DIV/0!</v>
      </c>
      <c r="E173" s="623"/>
      <c r="F173" s="624"/>
      <c r="G173" s="175"/>
      <c r="H173" s="175"/>
      <c r="I173" s="175"/>
      <c r="T173" s="174"/>
      <c r="V173" s="177"/>
      <c r="W173" s="177"/>
    </row>
    <row r="174" spans="3:23" ht="20.100000000000001" customHeight="1" thickBot="1" x14ac:dyDescent="0.25">
      <c r="C174" s="210" t="s">
        <v>42</v>
      </c>
      <c r="D174" s="622" t="e">
        <f>+SQRT(D173)</f>
        <v>#DIV/0!</v>
      </c>
      <c r="E174" s="623"/>
      <c r="F174" s="624"/>
      <c r="G174" s="175"/>
      <c r="H174" s="175"/>
      <c r="I174" s="175"/>
      <c r="T174" s="178"/>
    </row>
    <row r="175" spans="3:23" ht="34.5" customHeight="1" thickBot="1" x14ac:dyDescent="0.25">
      <c r="C175" s="210" t="s">
        <v>43</v>
      </c>
      <c r="D175" s="640" t="e">
        <f>+SQRT(P131)</f>
        <v>#NUM!</v>
      </c>
      <c r="E175" s="641"/>
      <c r="F175" s="642"/>
      <c r="G175" s="175"/>
      <c r="H175" s="175"/>
      <c r="I175" s="175"/>
      <c r="M175" s="629" t="s">
        <v>41</v>
      </c>
      <c r="N175" s="630"/>
      <c r="O175" s="633" t="e">
        <f>+(D176*D174)*(SQRT((1/W25)+(1/W26)))</f>
        <v>#NUM!</v>
      </c>
      <c r="P175" s="634"/>
    </row>
    <row r="176" spans="3:23" ht="20.100000000000001" customHeight="1" thickBot="1" x14ac:dyDescent="0.25">
      <c r="C176" s="211" t="s">
        <v>44</v>
      </c>
      <c r="D176" s="466" t="e">
        <f>_xlfn.T.INV.2T(0.05,W24-1)</f>
        <v>#NUM!</v>
      </c>
      <c r="E176" s="208" t="str">
        <f>+CONCATENATE("t = ",W24-1," grados de libertad con α/2=0,025")</f>
        <v>t = -1 grados de libertad con α/2=0,025</v>
      </c>
      <c r="F176" s="188"/>
      <c r="G176" s="209"/>
      <c r="H176" s="590" t="s">
        <v>56</v>
      </c>
      <c r="I176" s="628"/>
      <c r="M176" s="631"/>
      <c r="N176" s="632"/>
      <c r="O176" s="635" t="s">
        <v>57</v>
      </c>
      <c r="P176" s="636"/>
    </row>
    <row r="177" spans="2:36" ht="30" customHeight="1" thickBot="1" x14ac:dyDescent="0.25">
      <c r="C177" s="366" t="s">
        <v>189</v>
      </c>
      <c r="D177" s="354" t="e">
        <f>+D174/D175*D176</f>
        <v>#DIV/0!</v>
      </c>
      <c r="E177" s="153"/>
      <c r="F177" s="153"/>
      <c r="G177" s="153"/>
      <c r="H177" s="153"/>
    </row>
    <row r="178" spans="2:36" ht="20.100000000000001" customHeight="1" thickBot="1" x14ac:dyDescent="0.25"/>
    <row r="179" spans="2:36" ht="20.100000000000001" customHeight="1" thickBot="1" x14ac:dyDescent="0.25">
      <c r="C179" s="367" t="s">
        <v>44</v>
      </c>
      <c r="D179" s="466">
        <v>1.96</v>
      </c>
      <c r="E179" s="637" t="s">
        <v>52</v>
      </c>
      <c r="F179" s="638"/>
      <c r="G179" s="639"/>
      <c r="H179" s="590" t="s">
        <v>51</v>
      </c>
      <c r="I179" s="628"/>
    </row>
    <row r="180" spans="2:36" ht="30.75" customHeight="1" thickBot="1" x14ac:dyDescent="0.25">
      <c r="C180" s="366" t="s">
        <v>189</v>
      </c>
      <c r="D180" s="467" t="e">
        <f>+D174/D175*D179</f>
        <v>#DIV/0!</v>
      </c>
      <c r="E180" s="153"/>
      <c r="F180" s="153"/>
      <c r="G180" s="153"/>
      <c r="H180" s="153"/>
    </row>
    <row r="181" spans="2:36" ht="19.5" customHeight="1" thickBot="1" x14ac:dyDescent="0.3">
      <c r="C181" s="368"/>
      <c r="D181" s="159"/>
      <c r="E181" s="153"/>
      <c r="F181" s="153"/>
      <c r="G181" s="153"/>
      <c r="H181" s="153"/>
    </row>
    <row r="182" spans="2:36" ht="29.25" customHeight="1" x14ac:dyDescent="0.25">
      <c r="C182" s="368"/>
      <c r="D182" s="159"/>
      <c r="E182" s="153"/>
      <c r="F182" s="153"/>
      <c r="G182" s="153"/>
      <c r="H182" s="153"/>
      <c r="M182" s="643" t="s">
        <v>55</v>
      </c>
      <c r="N182" s="592"/>
      <c r="O182" s="644" t="e">
        <f>+(D179*D174)*(SQRT((1/W25)+(1/W26)))</f>
        <v>#DIV/0!</v>
      </c>
      <c r="P182" s="645"/>
    </row>
    <row r="183" spans="2:36" ht="27" customHeight="1" thickBot="1" x14ac:dyDescent="0.3">
      <c r="C183" s="368"/>
      <c r="D183" s="159"/>
      <c r="E183" s="153"/>
      <c r="F183" s="153"/>
      <c r="G183" s="153"/>
      <c r="H183" s="153"/>
      <c r="M183" s="646" t="s">
        <v>54</v>
      </c>
      <c r="N183" s="593"/>
      <c r="O183" s="647" t="s">
        <v>53</v>
      </c>
      <c r="P183" s="648"/>
    </row>
    <row r="184" spans="2:36" ht="29.25" customHeight="1" thickBot="1" x14ac:dyDescent="0.3">
      <c r="C184" s="368"/>
      <c r="D184" s="159"/>
      <c r="E184" s="153"/>
      <c r="F184" s="153"/>
      <c r="G184" s="153"/>
      <c r="H184" s="153"/>
    </row>
    <row r="185" spans="2:36" ht="24.75" customHeight="1" x14ac:dyDescent="0.25">
      <c r="C185" s="368"/>
      <c r="D185" s="159"/>
      <c r="E185" s="153"/>
      <c r="F185" s="153"/>
      <c r="G185" s="153"/>
      <c r="H185" s="153"/>
      <c r="M185" s="649" t="s">
        <v>50</v>
      </c>
      <c r="N185" s="650"/>
      <c r="O185" s="650"/>
      <c r="P185" s="650"/>
      <c r="Q185" s="650"/>
      <c r="R185" s="651"/>
    </row>
    <row r="186" spans="2:36" ht="22.5" customHeight="1" thickBot="1" x14ac:dyDescent="0.3">
      <c r="C186" s="368"/>
      <c r="D186" s="159"/>
      <c r="E186" s="153"/>
      <c r="F186" s="153"/>
      <c r="G186" s="153"/>
      <c r="H186" s="153"/>
      <c r="M186" s="652"/>
      <c r="N186" s="653"/>
      <c r="O186" s="653"/>
      <c r="P186" s="653"/>
      <c r="Q186" s="653"/>
      <c r="R186" s="654"/>
    </row>
    <row r="187" spans="2:36" ht="15.75" thickBot="1" x14ac:dyDescent="0.25">
      <c r="E187" s="167"/>
    </row>
    <row r="188" spans="2:36" ht="35.1" customHeight="1" thickBot="1" x14ac:dyDescent="0.25">
      <c r="B188" s="581" t="s">
        <v>49</v>
      </c>
      <c r="C188" s="582"/>
      <c r="D188" s="582"/>
      <c r="E188" s="582"/>
      <c r="F188" s="582"/>
      <c r="G188" s="582"/>
      <c r="H188" s="582"/>
      <c r="I188" s="582"/>
      <c r="J188" s="582"/>
      <c r="K188" s="582"/>
      <c r="L188" s="582"/>
      <c r="M188" s="582"/>
      <c r="N188" s="582"/>
      <c r="O188" s="582"/>
      <c r="P188" s="582"/>
      <c r="Q188" s="582"/>
      <c r="R188" s="582"/>
      <c r="S188" s="582"/>
      <c r="T188" s="582"/>
      <c r="U188" s="582"/>
      <c r="V188" s="582"/>
      <c r="W188" s="582"/>
      <c r="X188" s="582"/>
      <c r="Y188" s="582"/>
      <c r="Z188" s="582"/>
      <c r="AA188" s="582"/>
      <c r="AB188" s="582"/>
      <c r="AC188" s="582"/>
      <c r="AD188" s="582"/>
      <c r="AE188" s="582"/>
      <c r="AF188" s="582"/>
      <c r="AG188" s="582"/>
      <c r="AH188" s="582"/>
      <c r="AI188" s="582"/>
      <c r="AJ188" s="583"/>
    </row>
    <row r="189" spans="2:36" ht="35.1" customHeight="1" thickBot="1" x14ac:dyDescent="0.25">
      <c r="B189" s="660" t="s">
        <v>186</v>
      </c>
      <c r="C189" s="661"/>
      <c r="D189" s="662"/>
      <c r="E189" s="189"/>
      <c r="F189" s="660" t="s">
        <v>187</v>
      </c>
      <c r="G189" s="661"/>
      <c r="H189" s="661"/>
      <c r="I189" s="662"/>
      <c r="J189" s="189"/>
      <c r="K189" s="189"/>
      <c r="L189" s="655" t="s">
        <v>188</v>
      </c>
      <c r="M189" s="656"/>
      <c r="N189" s="657"/>
      <c r="O189" s="189"/>
      <c r="P189" s="189"/>
      <c r="Q189" s="189"/>
      <c r="R189" s="189"/>
      <c r="S189" s="189"/>
      <c r="T189" s="189"/>
      <c r="U189" s="189"/>
      <c r="V189" s="189"/>
      <c r="W189" s="189"/>
      <c r="X189" s="189"/>
      <c r="Y189" s="189"/>
      <c r="Z189" s="189"/>
      <c r="AA189" s="189"/>
      <c r="AB189" s="189"/>
      <c r="AC189" s="189"/>
      <c r="AD189" s="189"/>
      <c r="AE189" s="189"/>
      <c r="AF189" s="189"/>
      <c r="AG189" s="189"/>
      <c r="AH189" s="189"/>
      <c r="AI189" s="189"/>
      <c r="AJ189" s="189"/>
    </row>
    <row r="190" spans="2:36" ht="28.5" customHeight="1" thickBot="1" x14ac:dyDescent="0.25">
      <c r="B190" s="221" t="str">
        <f>+D68</f>
        <v>M1</v>
      </c>
      <c r="C190" s="221" t="str">
        <f>+E68</f>
        <v>M2</v>
      </c>
      <c r="D190" s="221" t="str">
        <f>+F68</f>
        <v>M3</v>
      </c>
      <c r="E190" s="153"/>
      <c r="F190" s="658" t="s">
        <v>47</v>
      </c>
      <c r="G190" s="659"/>
      <c r="H190" s="658" t="s">
        <v>1</v>
      </c>
      <c r="I190" s="659"/>
      <c r="L190" s="295" t="str">
        <f t="shared" ref="L190:N190" si="66">+B190</f>
        <v>M1</v>
      </c>
      <c r="M190" s="296" t="str">
        <f t="shared" si="66"/>
        <v>M2</v>
      </c>
      <c r="N190" s="297" t="str">
        <f t="shared" si="66"/>
        <v>M3</v>
      </c>
      <c r="O190" s="189"/>
      <c r="P190" s="153"/>
      <c r="Q190" s="153"/>
      <c r="S190" s="665" t="s">
        <v>164</v>
      </c>
      <c r="T190" s="666"/>
      <c r="U190" s="666"/>
      <c r="V190" s="666"/>
      <c r="W190" s="666"/>
      <c r="X190" s="666"/>
      <c r="Y190" s="666"/>
      <c r="Z190" s="666"/>
      <c r="AA190" s="666"/>
      <c r="AB190" s="666"/>
      <c r="AC190" s="667"/>
    </row>
    <row r="191" spans="2:36" ht="20.100000000000001" customHeight="1" thickBot="1" x14ac:dyDescent="0.25">
      <c r="B191" s="217">
        <f t="shared" ref="B191:B199" si="67">+D34</f>
        <v>0</v>
      </c>
      <c r="C191" s="216">
        <f t="shared" ref="C191:C199" si="68">+E34</f>
        <v>0</v>
      </c>
      <c r="D191" s="218">
        <f t="shared" ref="D191:D199" si="69">+F34</f>
        <v>0</v>
      </c>
      <c r="F191" s="217">
        <f t="shared" ref="F191:F205" si="70">+SMALL($B$191:$D$199,G191)</f>
        <v>0</v>
      </c>
      <c r="G191" s="415">
        <v>1</v>
      </c>
      <c r="H191" s="402"/>
      <c r="I191" s="416"/>
      <c r="L191" s="401"/>
      <c r="M191" s="402"/>
      <c r="N191" s="403"/>
      <c r="O191" s="189"/>
      <c r="P191" s="189"/>
      <c r="Q191" s="189"/>
      <c r="S191" s="200"/>
      <c r="T191" s="266"/>
      <c r="U191" s="266"/>
      <c r="V191" s="266"/>
      <c r="W191" s="266"/>
      <c r="X191" s="266"/>
      <c r="Y191" s="266"/>
      <c r="Z191" s="266"/>
      <c r="AA191" s="266"/>
      <c r="AB191" s="266"/>
      <c r="AC191" s="171"/>
    </row>
    <row r="192" spans="2:36" ht="20.100000000000001" customHeight="1" thickBot="1" x14ac:dyDescent="0.25">
      <c r="B192" s="219">
        <f t="shared" si="67"/>
        <v>0</v>
      </c>
      <c r="C192" s="154">
        <f t="shared" si="68"/>
        <v>0</v>
      </c>
      <c r="D192" s="220">
        <f t="shared" si="69"/>
        <v>0</v>
      </c>
      <c r="F192" s="292">
        <f t="shared" si="70"/>
        <v>0</v>
      </c>
      <c r="G192" s="417">
        <v>2</v>
      </c>
      <c r="H192" s="404"/>
      <c r="I192" s="418"/>
      <c r="L192" s="294"/>
      <c r="M192" s="404"/>
      <c r="N192" s="405"/>
      <c r="O192" s="189"/>
      <c r="P192" s="189"/>
      <c r="Q192" s="189"/>
      <c r="S192" s="369">
        <f>12/(Q211*(Q211+1))</f>
        <v>5.7971014492753624E-3</v>
      </c>
      <c r="T192" s="370">
        <f>POWER(L218,2)/$Q$210</f>
        <v>0</v>
      </c>
      <c r="U192" s="370">
        <f>POWER(M218,2)/$Q$210</f>
        <v>0</v>
      </c>
      <c r="V192" s="339">
        <f>POWER(N218,2)/$Q$210</f>
        <v>0</v>
      </c>
      <c r="W192" s="371">
        <f>POWER(N237,2)/$Q$210</f>
        <v>0</v>
      </c>
      <c r="X192" s="372">
        <f>POWER(O237,2)/$Q$210</f>
        <v>0</v>
      </c>
      <c r="Y192" s="372">
        <f>POWER(P237,2)/$Q$210</f>
        <v>0</v>
      </c>
      <c r="Z192" s="373">
        <f>3*(Q211+1)</f>
        <v>138</v>
      </c>
      <c r="AA192" s="374"/>
      <c r="AB192" s="374"/>
      <c r="AC192" s="375">
        <f>S192*(T192+U192+V192+W192+X192+Y192)-Z192</f>
        <v>-138</v>
      </c>
    </row>
    <row r="193" spans="2:29" ht="20.100000000000001" customHeight="1" thickBot="1" x14ac:dyDescent="0.25">
      <c r="B193" s="219">
        <f t="shared" si="67"/>
        <v>0</v>
      </c>
      <c r="C193" s="154">
        <f t="shared" si="68"/>
        <v>0</v>
      </c>
      <c r="D193" s="220">
        <f t="shared" si="69"/>
        <v>0</v>
      </c>
      <c r="F193" s="292">
        <f t="shared" si="70"/>
        <v>0</v>
      </c>
      <c r="G193" s="417">
        <v>3</v>
      </c>
      <c r="H193" s="404"/>
      <c r="I193" s="418"/>
      <c r="L193" s="294"/>
      <c r="M193" s="404"/>
      <c r="N193" s="405"/>
      <c r="O193" s="189"/>
      <c r="P193" s="189"/>
      <c r="Q193" s="189"/>
      <c r="S193" s="376">
        <v>1</v>
      </c>
      <c r="T193" s="376">
        <f>POWER(I191,3)-I191</f>
        <v>0</v>
      </c>
      <c r="U193" s="376">
        <f>POWER(I192,3)-I192</f>
        <v>0</v>
      </c>
      <c r="V193" s="377">
        <f>POWER(I193,3)-I193</f>
        <v>0</v>
      </c>
      <c r="W193" s="378">
        <f>POWER(I194,3)-I194</f>
        <v>0</v>
      </c>
      <c r="X193" s="379">
        <f>POWER(I195,3)-I194</f>
        <v>0</v>
      </c>
      <c r="Y193" s="379">
        <f>POWER(I196,3)-I196</f>
        <v>0</v>
      </c>
      <c r="Z193" s="376">
        <f>POWER($I$197,3)-$I$197</f>
        <v>0</v>
      </c>
      <c r="AA193" s="320">
        <f>POWER($I$198,3)-$I$198</f>
        <v>0</v>
      </c>
      <c r="AB193" s="380">
        <f>POWER(I199,3)-I199</f>
        <v>0</v>
      </c>
      <c r="AC193" s="381">
        <f>S193-((T193+U193+V193+W193+X193+Y193)/U194)</f>
        <v>1</v>
      </c>
    </row>
    <row r="194" spans="2:29" ht="20.100000000000001" customHeight="1" thickBot="1" x14ac:dyDescent="0.25">
      <c r="B194" s="219">
        <f t="shared" si="67"/>
        <v>0</v>
      </c>
      <c r="C194" s="154">
        <f t="shared" si="68"/>
        <v>0</v>
      </c>
      <c r="D194" s="220">
        <f t="shared" si="69"/>
        <v>0</v>
      </c>
      <c r="F194" s="292">
        <f t="shared" si="70"/>
        <v>0</v>
      </c>
      <c r="G194" s="417">
        <v>4</v>
      </c>
      <c r="H194" s="404"/>
      <c r="I194" s="418"/>
      <c r="L194" s="294"/>
      <c r="M194" s="404"/>
      <c r="N194" s="405"/>
      <c r="O194" s="189"/>
      <c r="P194" s="189"/>
      <c r="Q194" s="189"/>
      <c r="S194" s="378"/>
      <c r="T194" s="379"/>
      <c r="U194" s="379">
        <f>POWER(Q211,3)-Q211</f>
        <v>91080</v>
      </c>
      <c r="V194" s="377"/>
      <c r="W194" s="374"/>
      <c r="X194" s="374"/>
      <c r="Y194" s="374"/>
      <c r="Z194" s="374"/>
      <c r="AA194" s="374"/>
      <c r="AB194" s="374"/>
      <c r="AC194" s="382"/>
    </row>
    <row r="195" spans="2:29" ht="20.100000000000001" customHeight="1" thickBot="1" x14ac:dyDescent="0.25">
      <c r="B195" s="219">
        <f t="shared" si="67"/>
        <v>0</v>
      </c>
      <c r="C195" s="154">
        <f t="shared" si="68"/>
        <v>0</v>
      </c>
      <c r="D195" s="220">
        <f t="shared" si="69"/>
        <v>0</v>
      </c>
      <c r="F195" s="292">
        <f t="shared" si="70"/>
        <v>0</v>
      </c>
      <c r="G195" s="417">
        <v>5</v>
      </c>
      <c r="H195" s="404"/>
      <c r="I195" s="418"/>
      <c r="L195" s="294"/>
      <c r="M195" s="404"/>
      <c r="N195" s="405"/>
      <c r="O195" s="189"/>
      <c r="P195" s="189"/>
      <c r="Q195" s="189"/>
      <c r="S195" s="193"/>
      <c r="T195" s="181"/>
      <c r="U195" s="181"/>
      <c r="V195" s="181"/>
      <c r="W195" s="181"/>
      <c r="X195" s="181"/>
      <c r="Y195" s="181"/>
      <c r="Z195" s="181"/>
      <c r="AA195" s="181"/>
      <c r="AB195" s="181"/>
      <c r="AC195" s="194"/>
    </row>
    <row r="196" spans="2:29" ht="20.100000000000001" customHeight="1" x14ac:dyDescent="0.2">
      <c r="B196" s="219">
        <f t="shared" si="67"/>
        <v>0</v>
      </c>
      <c r="C196" s="154">
        <f t="shared" si="68"/>
        <v>0</v>
      </c>
      <c r="D196" s="220">
        <f t="shared" si="69"/>
        <v>0</v>
      </c>
      <c r="E196" s="180"/>
      <c r="F196" s="292">
        <f t="shared" si="70"/>
        <v>0</v>
      </c>
      <c r="G196" s="417">
        <v>6</v>
      </c>
      <c r="H196" s="404"/>
      <c r="I196" s="418"/>
      <c r="L196" s="294"/>
      <c r="M196" s="404"/>
      <c r="N196" s="405"/>
      <c r="O196" s="189"/>
      <c r="P196" s="189"/>
      <c r="Q196" s="189"/>
      <c r="R196" s="189"/>
      <c r="S196" s="189"/>
      <c r="T196" s="189"/>
      <c r="U196" s="189"/>
      <c r="V196" s="189"/>
      <c r="W196" s="189"/>
      <c r="X196" s="189"/>
      <c r="Y196" s="189"/>
      <c r="Z196" s="189"/>
      <c r="AA196" s="189"/>
      <c r="AB196" s="189"/>
      <c r="AC196" s="189"/>
    </row>
    <row r="197" spans="2:29" ht="20.100000000000001" customHeight="1" x14ac:dyDescent="0.2">
      <c r="B197" s="219">
        <f t="shared" si="67"/>
        <v>0</v>
      </c>
      <c r="C197" s="154">
        <f t="shared" si="68"/>
        <v>0</v>
      </c>
      <c r="D197" s="220">
        <f t="shared" si="69"/>
        <v>0</v>
      </c>
      <c r="E197" s="180"/>
      <c r="F197" s="292">
        <f t="shared" si="70"/>
        <v>0</v>
      </c>
      <c r="G197" s="417">
        <v>7</v>
      </c>
      <c r="H197" s="404"/>
      <c r="I197" s="418"/>
      <c r="L197" s="294"/>
      <c r="M197" s="404"/>
      <c r="N197" s="405"/>
      <c r="O197" s="153"/>
      <c r="P197" s="153"/>
      <c r="Q197" s="153"/>
      <c r="R197" s="153"/>
      <c r="S197" s="153"/>
      <c r="T197" s="153"/>
      <c r="U197" s="153"/>
      <c r="V197" s="153"/>
      <c r="W197" s="153"/>
      <c r="X197" s="153"/>
      <c r="Y197" s="153"/>
      <c r="Z197" s="153"/>
      <c r="AA197" s="153"/>
      <c r="AB197" s="153"/>
      <c r="AC197" s="153"/>
    </row>
    <row r="198" spans="2:29" ht="20.100000000000001" customHeight="1" x14ac:dyDescent="0.2">
      <c r="B198" s="219">
        <f t="shared" si="67"/>
        <v>0</v>
      </c>
      <c r="C198" s="154">
        <f t="shared" si="68"/>
        <v>0</v>
      </c>
      <c r="D198" s="220">
        <f t="shared" si="69"/>
        <v>0</v>
      </c>
      <c r="F198" s="292">
        <f t="shared" si="70"/>
        <v>0</v>
      </c>
      <c r="G198" s="417">
        <v>8</v>
      </c>
      <c r="H198" s="404"/>
      <c r="I198" s="418"/>
      <c r="L198" s="294"/>
      <c r="M198" s="404"/>
      <c r="N198" s="405"/>
    </row>
    <row r="199" spans="2:29" ht="20.100000000000001" customHeight="1" x14ac:dyDescent="0.2">
      <c r="B199" s="219">
        <f t="shared" si="67"/>
        <v>0</v>
      </c>
      <c r="C199" s="154">
        <f t="shared" si="68"/>
        <v>0</v>
      </c>
      <c r="D199" s="220">
        <f t="shared" si="69"/>
        <v>0</v>
      </c>
      <c r="F199" s="292">
        <f t="shared" si="70"/>
        <v>0</v>
      </c>
      <c r="G199" s="417">
        <v>9</v>
      </c>
      <c r="H199" s="404"/>
      <c r="I199" s="418"/>
      <c r="L199" s="294"/>
      <c r="M199" s="404"/>
      <c r="N199" s="405"/>
    </row>
    <row r="200" spans="2:29" ht="20.100000000000001" customHeight="1" x14ac:dyDescent="0.2">
      <c r="B200" s="219">
        <f t="shared" ref="B200:B205" si="71">+D43</f>
        <v>0</v>
      </c>
      <c r="C200" s="154">
        <f t="shared" ref="C200:C205" si="72">+E43</f>
        <v>0</v>
      </c>
      <c r="D200" s="220">
        <f t="shared" ref="D200:D205" si="73">+F43</f>
        <v>0</v>
      </c>
      <c r="F200" s="292">
        <f t="shared" si="70"/>
        <v>0</v>
      </c>
      <c r="G200" s="417">
        <v>10</v>
      </c>
      <c r="H200" s="404"/>
      <c r="I200" s="418"/>
      <c r="L200" s="406"/>
      <c r="M200" s="407"/>
      <c r="N200" s="408"/>
    </row>
    <row r="201" spans="2:29" ht="20.100000000000001" customHeight="1" x14ac:dyDescent="0.2">
      <c r="B201" s="219">
        <f t="shared" si="71"/>
        <v>0</v>
      </c>
      <c r="C201" s="154">
        <f t="shared" si="72"/>
        <v>0</v>
      </c>
      <c r="D201" s="220">
        <f t="shared" si="73"/>
        <v>0</v>
      </c>
      <c r="F201" s="292">
        <f t="shared" si="70"/>
        <v>0</v>
      </c>
      <c r="G201" s="417">
        <v>11</v>
      </c>
      <c r="H201" s="404"/>
      <c r="I201" s="418"/>
      <c r="L201" s="409"/>
      <c r="M201" s="410"/>
      <c r="N201" s="411"/>
    </row>
    <row r="202" spans="2:29" ht="20.100000000000001" customHeight="1" thickBot="1" x14ac:dyDescent="0.25">
      <c r="B202" s="219">
        <f t="shared" si="71"/>
        <v>0</v>
      </c>
      <c r="C202" s="154">
        <f t="shared" si="72"/>
        <v>0</v>
      </c>
      <c r="D202" s="220">
        <f t="shared" si="73"/>
        <v>0</v>
      </c>
      <c r="F202" s="292">
        <f t="shared" si="70"/>
        <v>0</v>
      </c>
      <c r="G202" s="417">
        <v>12</v>
      </c>
      <c r="H202" s="404"/>
      <c r="I202" s="418"/>
      <c r="L202" s="409"/>
      <c r="M202" s="410"/>
      <c r="N202" s="411"/>
    </row>
    <row r="203" spans="2:29" ht="20.100000000000001" customHeight="1" thickBot="1" x14ac:dyDescent="0.25">
      <c r="B203" s="219">
        <f t="shared" si="71"/>
        <v>0</v>
      </c>
      <c r="C203" s="154">
        <f t="shared" si="72"/>
        <v>0</v>
      </c>
      <c r="D203" s="220">
        <f t="shared" si="73"/>
        <v>0</v>
      </c>
      <c r="F203" s="292">
        <f t="shared" si="70"/>
        <v>0</v>
      </c>
      <c r="G203" s="417">
        <v>13</v>
      </c>
      <c r="H203" s="404"/>
      <c r="I203" s="418"/>
      <c r="L203" s="409"/>
      <c r="M203" s="410"/>
      <c r="N203" s="411"/>
      <c r="S203" s="383" t="s">
        <v>66</v>
      </c>
      <c r="T203" s="590" t="s">
        <v>67</v>
      </c>
      <c r="U203" s="668"/>
      <c r="V203" s="668"/>
      <c r="W203" s="628"/>
    </row>
    <row r="204" spans="2:29" ht="20.100000000000001" customHeight="1" thickBot="1" x14ac:dyDescent="0.3">
      <c r="B204" s="219">
        <f t="shared" si="71"/>
        <v>0</v>
      </c>
      <c r="C204" s="154">
        <f t="shared" si="72"/>
        <v>0</v>
      </c>
      <c r="D204" s="220">
        <f t="shared" si="73"/>
        <v>0</v>
      </c>
      <c r="F204" s="292">
        <f t="shared" si="70"/>
        <v>0</v>
      </c>
      <c r="G204" s="417">
        <v>14</v>
      </c>
      <c r="H204" s="404"/>
      <c r="I204" s="418"/>
      <c r="L204" s="409"/>
      <c r="M204" s="410"/>
      <c r="N204" s="411"/>
      <c r="S204" s="384" t="s">
        <v>68</v>
      </c>
      <c r="T204" s="689" t="s">
        <v>69</v>
      </c>
      <c r="U204" s="690"/>
      <c r="V204" s="690"/>
      <c r="W204" s="691"/>
    </row>
    <row r="205" spans="2:29" ht="20.100000000000001" customHeight="1" thickBot="1" x14ac:dyDescent="0.25">
      <c r="B205" s="476">
        <f t="shared" si="71"/>
        <v>0</v>
      </c>
      <c r="C205" s="477">
        <f t="shared" si="72"/>
        <v>0</v>
      </c>
      <c r="D205" s="478">
        <f t="shared" si="73"/>
        <v>0</v>
      </c>
      <c r="F205" s="292">
        <f t="shared" si="70"/>
        <v>0</v>
      </c>
      <c r="G205" s="417">
        <v>15</v>
      </c>
      <c r="H205" s="404"/>
      <c r="I205" s="418"/>
      <c r="L205" s="409"/>
      <c r="M205" s="410"/>
      <c r="N205" s="411"/>
      <c r="S205" s="280" t="s">
        <v>70</v>
      </c>
      <c r="T205" s="280" t="s">
        <v>71</v>
      </c>
    </row>
    <row r="206" spans="2:29" ht="20.100000000000001" customHeight="1" thickBot="1" x14ac:dyDescent="0.25">
      <c r="F206" s="292">
        <f t="shared" ref="F206:F216" si="74">+SMALL($B$191:$D$199,G206)</f>
        <v>0</v>
      </c>
      <c r="G206" s="417">
        <v>16</v>
      </c>
      <c r="H206" s="404"/>
      <c r="I206" s="419"/>
      <c r="L206" s="409"/>
      <c r="M206" s="410"/>
      <c r="N206" s="411"/>
      <c r="S206" s="281" t="s">
        <v>70</v>
      </c>
      <c r="T206" s="281" t="s">
        <v>72</v>
      </c>
    </row>
    <row r="207" spans="2:29" ht="20.100000000000001" customHeight="1" thickBot="1" x14ac:dyDescent="0.25">
      <c r="F207" s="292">
        <f t="shared" si="74"/>
        <v>0</v>
      </c>
      <c r="G207" s="417">
        <v>17</v>
      </c>
      <c r="H207" s="420"/>
      <c r="I207" s="421">
        <f>SUM(I191:I202)</f>
        <v>0</v>
      </c>
      <c r="L207" s="409"/>
      <c r="M207" s="410"/>
      <c r="N207" s="411"/>
      <c r="S207" s="283" t="s">
        <v>70</v>
      </c>
      <c r="T207" s="282">
        <f>+Q212-1</f>
        <v>2</v>
      </c>
    </row>
    <row r="208" spans="2:29" ht="20.100000000000001" customHeight="1" thickBot="1" x14ac:dyDescent="0.25">
      <c r="F208" s="292">
        <f t="shared" si="74"/>
        <v>0</v>
      </c>
      <c r="G208" s="417">
        <v>18</v>
      </c>
      <c r="H208" s="404"/>
      <c r="I208" s="422"/>
      <c r="L208" s="409"/>
      <c r="M208" s="410"/>
      <c r="N208" s="411"/>
      <c r="S208" s="686" t="s">
        <v>2</v>
      </c>
      <c r="T208" s="687"/>
      <c r="U208" s="688"/>
    </row>
    <row r="209" spans="6:29" ht="20.100000000000001" customHeight="1" thickBot="1" x14ac:dyDescent="0.25">
      <c r="F209" s="292">
        <f t="shared" si="74"/>
        <v>0</v>
      </c>
      <c r="G209" s="417">
        <v>19</v>
      </c>
      <c r="H209" s="404"/>
      <c r="I209" s="418"/>
      <c r="L209" s="409"/>
      <c r="M209" s="410"/>
      <c r="N209" s="411"/>
      <c r="S209" s="683" t="s">
        <v>158</v>
      </c>
      <c r="T209" s="684"/>
      <c r="U209" s="385">
        <f>_xlfn.CHISQ.INV(0.95,T207)</f>
        <v>5.9914645471079799</v>
      </c>
      <c r="Y209" s="386"/>
      <c r="Z209" s="386"/>
      <c r="AA209" s="386"/>
    </row>
    <row r="210" spans="6:29" ht="20.100000000000001" customHeight="1" thickBot="1" x14ac:dyDescent="0.25">
      <c r="F210" s="292">
        <f t="shared" si="74"/>
        <v>0</v>
      </c>
      <c r="G210" s="417">
        <v>20</v>
      </c>
      <c r="H210" s="404"/>
      <c r="I210" s="418"/>
      <c r="L210" s="409"/>
      <c r="M210" s="410"/>
      <c r="N210" s="411"/>
      <c r="P210" s="387" t="s">
        <v>48</v>
      </c>
      <c r="Q210" s="268">
        <f>COUNT(B191:B205)</f>
        <v>15</v>
      </c>
      <c r="S210" s="663" t="s">
        <v>159</v>
      </c>
      <c r="T210" s="664"/>
      <c r="U210" s="388">
        <f>IFERROR(AC192/AC193,0)</f>
        <v>-138</v>
      </c>
      <c r="V210" s="669" t="str">
        <f>IF(U210&lt;=U209,"Menor que Chi CD","Mayor que Chi CD")</f>
        <v>Menor que Chi CD</v>
      </c>
      <c r="W210" s="670"/>
      <c r="X210" s="670"/>
      <c r="Y210" s="670"/>
      <c r="Z210" s="670"/>
      <c r="AA210" s="671"/>
      <c r="AC210" s="151" t="e">
        <f>CHIDIST(U210,Q212-1)</f>
        <v>#NUM!</v>
      </c>
    </row>
    <row r="211" spans="6:29" ht="20.100000000000001" customHeight="1" thickBot="1" x14ac:dyDescent="0.25">
      <c r="F211" s="292">
        <f t="shared" si="74"/>
        <v>0</v>
      </c>
      <c r="G211" s="417">
        <v>21</v>
      </c>
      <c r="H211" s="404"/>
      <c r="I211" s="418"/>
      <c r="L211" s="409"/>
      <c r="M211" s="410"/>
      <c r="N211" s="411"/>
      <c r="P211" s="389" t="s">
        <v>45</v>
      </c>
      <c r="Q211" s="390">
        <f>COUNT(B191:D205)</f>
        <v>45</v>
      </c>
      <c r="S211" s="383" t="s">
        <v>4</v>
      </c>
      <c r="T211" s="590" t="s">
        <v>5</v>
      </c>
      <c r="U211" s="668"/>
      <c r="V211" s="668"/>
      <c r="W211" s="628"/>
    </row>
    <row r="212" spans="6:29" ht="20.100000000000001" customHeight="1" thickBot="1" x14ac:dyDescent="0.25">
      <c r="F212" s="292">
        <f t="shared" si="74"/>
        <v>0</v>
      </c>
      <c r="G212" s="417">
        <v>22</v>
      </c>
      <c r="H212" s="404"/>
      <c r="I212" s="418"/>
      <c r="L212" s="409"/>
      <c r="M212" s="410"/>
      <c r="N212" s="411"/>
      <c r="P212" s="391" t="s">
        <v>46</v>
      </c>
      <c r="Q212" s="392">
        <f>COUNT(B191:D191)</f>
        <v>3</v>
      </c>
      <c r="S212" s="391" t="s">
        <v>6</v>
      </c>
      <c r="T212" s="590" t="s">
        <v>7</v>
      </c>
      <c r="U212" s="668"/>
      <c r="V212" s="668"/>
      <c r="W212" s="628"/>
    </row>
    <row r="213" spans="6:29" ht="20.100000000000001" customHeight="1" thickBot="1" x14ac:dyDescent="0.25">
      <c r="F213" s="292">
        <f t="shared" si="74"/>
        <v>0</v>
      </c>
      <c r="G213" s="417">
        <v>23</v>
      </c>
      <c r="H213" s="404"/>
      <c r="I213" s="418"/>
      <c r="L213" s="409"/>
      <c r="M213" s="410"/>
      <c r="N213" s="411"/>
    </row>
    <row r="214" spans="6:29" ht="20.100000000000001" customHeight="1" thickBot="1" x14ac:dyDescent="0.25">
      <c r="F214" s="292">
        <f t="shared" si="74"/>
        <v>0</v>
      </c>
      <c r="G214" s="417">
        <v>24</v>
      </c>
      <c r="H214" s="404"/>
      <c r="I214" s="418"/>
      <c r="L214" s="409"/>
      <c r="M214" s="410"/>
      <c r="N214" s="411"/>
      <c r="S214" s="695" t="str">
        <f>IF(U210&lt;=U209,"La Hipotesis nula NO se rechaza","Se rechaza la hipotesis nula")</f>
        <v>La Hipotesis nula NO se rechaza</v>
      </c>
      <c r="T214" s="696"/>
      <c r="U214" s="696"/>
      <c r="V214" s="696"/>
      <c r="W214" s="696"/>
      <c r="X214" s="696"/>
      <c r="Y214" s="696"/>
      <c r="Z214" s="696"/>
      <c r="AA214" s="696"/>
      <c r="AB214" s="696"/>
      <c r="AC214" s="697"/>
    </row>
    <row r="215" spans="6:29" ht="20.100000000000001" customHeight="1" x14ac:dyDescent="0.2">
      <c r="F215" s="292">
        <f t="shared" si="74"/>
        <v>0</v>
      </c>
      <c r="G215" s="417">
        <v>25</v>
      </c>
      <c r="H215" s="404"/>
      <c r="I215" s="418"/>
      <c r="L215" s="409"/>
      <c r="M215" s="410"/>
      <c r="N215" s="411"/>
      <c r="S215" s="672" t="s">
        <v>190</v>
      </c>
      <c r="T215" s="673"/>
      <c r="U215" s="673"/>
      <c r="V215" s="673"/>
      <c r="W215" s="673"/>
      <c r="X215" s="673"/>
      <c r="Y215" s="673"/>
      <c r="Z215" s="673"/>
      <c r="AA215" s="673"/>
      <c r="AB215" s="673"/>
      <c r="AC215" s="674"/>
    </row>
    <row r="216" spans="6:29" ht="20.100000000000001" customHeight="1" x14ac:dyDescent="0.2">
      <c r="F216" s="292">
        <f t="shared" si="74"/>
        <v>0</v>
      </c>
      <c r="G216" s="417">
        <v>26</v>
      </c>
      <c r="H216" s="404"/>
      <c r="I216" s="418"/>
      <c r="L216" s="409"/>
      <c r="M216" s="410"/>
      <c r="N216" s="411"/>
      <c r="S216" s="675"/>
      <c r="T216" s="676"/>
      <c r="U216" s="676"/>
      <c r="V216" s="676"/>
      <c r="W216" s="676"/>
      <c r="X216" s="676"/>
      <c r="Y216" s="676"/>
      <c r="Z216" s="676"/>
      <c r="AA216" s="676"/>
      <c r="AB216" s="676"/>
      <c r="AC216" s="677"/>
    </row>
    <row r="217" spans="6:29" ht="20.100000000000001" customHeight="1" thickBot="1" x14ac:dyDescent="0.25">
      <c r="F217" s="293">
        <f>+SMALL($B$191:$D$205,G217)</f>
        <v>0</v>
      </c>
      <c r="G217" s="423">
        <v>27</v>
      </c>
      <c r="H217" s="424"/>
      <c r="I217" s="425"/>
      <c r="L217" s="412"/>
      <c r="M217" s="413"/>
      <c r="N217" s="414"/>
      <c r="S217" s="675"/>
      <c r="T217" s="676"/>
      <c r="U217" s="676"/>
      <c r="V217" s="676"/>
      <c r="W217" s="676"/>
      <c r="X217" s="676"/>
      <c r="Y217" s="676"/>
      <c r="Z217" s="676"/>
      <c r="AA217" s="676"/>
      <c r="AB217" s="676"/>
      <c r="AC217" s="677"/>
    </row>
    <row r="218" spans="6:29" ht="20.100000000000001" customHeight="1" thickBot="1" x14ac:dyDescent="0.25">
      <c r="F218" s="293">
        <f t="shared" ref="F218:F235" si="75">+SMALL($B$191:$D$205,G218)</f>
        <v>0</v>
      </c>
      <c r="G218" s="423">
        <v>28</v>
      </c>
      <c r="H218" s="424"/>
      <c r="I218" s="425"/>
      <c r="L218" s="393">
        <f>SUM(L191:L217)</f>
        <v>0</v>
      </c>
      <c r="M218" s="393">
        <f>SUM(M191:M217)</f>
        <v>0</v>
      </c>
      <c r="N218" s="393">
        <f>SUM(N191:N217)</f>
        <v>0</v>
      </c>
      <c r="S218" s="678"/>
      <c r="T218" s="679"/>
      <c r="U218" s="679"/>
      <c r="V218" s="679"/>
      <c r="W218" s="679"/>
      <c r="X218" s="679"/>
      <c r="Y218" s="679"/>
      <c r="Z218" s="679"/>
      <c r="AA218" s="679"/>
      <c r="AB218" s="679"/>
      <c r="AC218" s="680"/>
    </row>
    <row r="219" spans="6:29" ht="20.100000000000001" customHeight="1" thickBot="1" x14ac:dyDescent="0.25">
      <c r="F219" s="293">
        <f t="shared" si="75"/>
        <v>0</v>
      </c>
      <c r="G219" s="423">
        <v>29</v>
      </c>
      <c r="H219" s="424"/>
      <c r="I219" s="425"/>
      <c r="L219" s="479"/>
      <c r="M219" s="479"/>
      <c r="N219" s="479"/>
      <c r="S219" s="448"/>
      <c r="T219" s="448"/>
      <c r="U219" s="448"/>
      <c r="V219" s="448"/>
      <c r="W219" s="448"/>
      <c r="X219" s="448"/>
      <c r="Y219" s="448"/>
      <c r="Z219" s="448"/>
      <c r="AA219" s="448"/>
      <c r="AB219" s="448"/>
      <c r="AC219" s="448"/>
    </row>
    <row r="220" spans="6:29" ht="20.100000000000001" customHeight="1" thickBot="1" x14ac:dyDescent="0.25">
      <c r="F220" s="293">
        <f t="shared" si="75"/>
        <v>0</v>
      </c>
      <c r="G220" s="423">
        <v>30</v>
      </c>
      <c r="H220" s="424"/>
      <c r="I220" s="425"/>
      <c r="L220" s="479"/>
      <c r="M220" s="479"/>
      <c r="N220" s="479"/>
      <c r="S220" s="448"/>
      <c r="T220" s="448"/>
      <c r="U220" s="448"/>
      <c r="V220" s="448"/>
      <c r="W220" s="448"/>
      <c r="X220" s="448"/>
      <c r="Y220" s="448"/>
      <c r="Z220" s="448"/>
      <c r="AA220" s="448"/>
      <c r="AB220" s="448"/>
      <c r="AC220" s="448"/>
    </row>
    <row r="221" spans="6:29" ht="20.100000000000001" customHeight="1" thickBot="1" x14ac:dyDescent="0.25">
      <c r="F221" s="293">
        <f t="shared" si="75"/>
        <v>0</v>
      </c>
      <c r="G221" s="423">
        <v>31</v>
      </c>
      <c r="H221" s="424"/>
      <c r="I221" s="425"/>
      <c r="L221" s="479"/>
      <c r="M221" s="479"/>
      <c r="N221" s="479"/>
      <c r="S221" s="448"/>
      <c r="T221" s="448"/>
      <c r="U221" s="448"/>
      <c r="V221" s="448"/>
      <c r="W221" s="448"/>
      <c r="X221" s="448"/>
      <c r="Y221" s="448"/>
      <c r="Z221" s="448"/>
      <c r="AA221" s="448"/>
      <c r="AB221" s="448"/>
      <c r="AC221" s="448"/>
    </row>
    <row r="222" spans="6:29" ht="20.100000000000001" customHeight="1" thickBot="1" x14ac:dyDescent="0.25">
      <c r="F222" s="293">
        <f t="shared" si="75"/>
        <v>0</v>
      </c>
      <c r="G222" s="423">
        <v>32</v>
      </c>
      <c r="H222" s="424"/>
      <c r="I222" s="425"/>
      <c r="L222" s="479"/>
      <c r="M222" s="479"/>
      <c r="N222" s="479"/>
      <c r="S222" s="448"/>
      <c r="T222" s="448"/>
      <c r="U222" s="448"/>
      <c r="V222" s="448"/>
      <c r="W222" s="448"/>
      <c r="X222" s="448"/>
      <c r="Y222" s="448"/>
      <c r="Z222" s="448"/>
      <c r="AA222" s="448"/>
      <c r="AB222" s="448"/>
      <c r="AC222" s="448"/>
    </row>
    <row r="223" spans="6:29" ht="20.100000000000001" customHeight="1" thickBot="1" x14ac:dyDescent="0.25">
      <c r="F223" s="293">
        <f t="shared" si="75"/>
        <v>0</v>
      </c>
      <c r="G223" s="423">
        <v>33</v>
      </c>
      <c r="H223" s="424"/>
      <c r="I223" s="425"/>
      <c r="L223" s="479"/>
      <c r="M223" s="479"/>
      <c r="N223" s="479"/>
      <c r="S223" s="448"/>
      <c r="T223" s="448"/>
      <c r="U223" s="448"/>
      <c r="V223" s="448"/>
      <c r="W223" s="448"/>
      <c r="X223" s="448"/>
      <c r="Y223" s="448"/>
      <c r="Z223" s="448"/>
      <c r="AA223" s="448"/>
      <c r="AB223" s="448"/>
      <c r="AC223" s="448"/>
    </row>
    <row r="224" spans="6:29" ht="20.100000000000001" customHeight="1" thickBot="1" x14ac:dyDescent="0.25">
      <c r="F224" s="293">
        <f t="shared" si="75"/>
        <v>0</v>
      </c>
      <c r="G224" s="423">
        <v>34</v>
      </c>
      <c r="H224" s="424"/>
      <c r="I224" s="425"/>
      <c r="L224" s="479"/>
      <c r="M224" s="479"/>
      <c r="N224" s="479"/>
      <c r="S224" s="448"/>
      <c r="T224" s="448"/>
      <c r="U224" s="448"/>
      <c r="V224" s="448"/>
      <c r="W224" s="448"/>
      <c r="X224" s="448"/>
      <c r="Y224" s="448"/>
      <c r="Z224" s="448"/>
      <c r="AA224" s="448"/>
      <c r="AB224" s="448"/>
      <c r="AC224" s="448"/>
    </row>
    <row r="225" spans="2:36" ht="20.100000000000001" customHeight="1" thickBot="1" x14ac:dyDescent="0.25">
      <c r="F225" s="293">
        <f t="shared" si="75"/>
        <v>0</v>
      </c>
      <c r="G225" s="423">
        <v>35</v>
      </c>
      <c r="H225" s="424"/>
      <c r="I225" s="425"/>
      <c r="L225" s="479"/>
      <c r="M225" s="479"/>
      <c r="N225" s="479"/>
      <c r="S225" s="448"/>
      <c r="T225" s="448"/>
      <c r="U225" s="448"/>
      <c r="V225" s="448"/>
      <c r="W225" s="448"/>
      <c r="X225" s="448"/>
      <c r="Y225" s="448"/>
      <c r="Z225" s="448"/>
      <c r="AA225" s="448"/>
      <c r="AB225" s="448"/>
      <c r="AC225" s="448"/>
    </row>
    <row r="226" spans="2:36" ht="20.100000000000001" customHeight="1" thickBot="1" x14ac:dyDescent="0.25">
      <c r="F226" s="293">
        <f t="shared" si="75"/>
        <v>0</v>
      </c>
      <c r="G226" s="423">
        <v>36</v>
      </c>
      <c r="H226" s="424"/>
      <c r="I226" s="425"/>
      <c r="L226" s="479"/>
      <c r="M226" s="479"/>
      <c r="N226" s="479"/>
      <c r="S226" s="448"/>
      <c r="T226" s="448"/>
      <c r="U226" s="448"/>
      <c r="V226" s="448"/>
      <c r="W226" s="448"/>
      <c r="X226" s="448"/>
      <c r="Y226" s="448"/>
      <c r="Z226" s="448"/>
      <c r="AA226" s="448"/>
      <c r="AB226" s="448"/>
      <c r="AC226" s="448"/>
    </row>
    <row r="227" spans="2:36" ht="20.100000000000001" customHeight="1" thickBot="1" x14ac:dyDescent="0.25">
      <c r="F227" s="293">
        <f t="shared" si="75"/>
        <v>0</v>
      </c>
      <c r="G227" s="423">
        <v>37</v>
      </c>
      <c r="H227" s="424"/>
      <c r="I227" s="425"/>
      <c r="L227" s="479"/>
      <c r="M227" s="479"/>
      <c r="N227" s="479"/>
      <c r="S227" s="448"/>
      <c r="T227" s="448"/>
      <c r="U227" s="448"/>
      <c r="V227" s="448"/>
      <c r="W227" s="448"/>
      <c r="X227" s="448"/>
      <c r="Y227" s="448"/>
      <c r="Z227" s="448"/>
      <c r="AA227" s="448"/>
      <c r="AB227" s="448"/>
      <c r="AC227" s="448"/>
    </row>
    <row r="228" spans="2:36" ht="20.100000000000001" customHeight="1" thickBot="1" x14ac:dyDescent="0.25">
      <c r="F228" s="293">
        <f t="shared" si="75"/>
        <v>0</v>
      </c>
      <c r="G228" s="423">
        <v>38</v>
      </c>
      <c r="H228" s="424"/>
      <c r="I228" s="425"/>
      <c r="L228" s="479"/>
      <c r="M228" s="479"/>
      <c r="N228" s="479"/>
      <c r="S228" s="448"/>
      <c r="T228" s="448"/>
      <c r="U228" s="448"/>
      <c r="V228" s="448"/>
      <c r="W228" s="448"/>
      <c r="X228" s="448"/>
      <c r="Y228" s="448"/>
      <c r="Z228" s="448"/>
      <c r="AA228" s="448"/>
      <c r="AB228" s="448"/>
      <c r="AC228" s="448"/>
    </row>
    <row r="229" spans="2:36" ht="20.100000000000001" customHeight="1" thickBot="1" x14ac:dyDescent="0.25">
      <c r="F229" s="293">
        <f t="shared" si="75"/>
        <v>0</v>
      </c>
      <c r="G229" s="423">
        <v>39</v>
      </c>
      <c r="H229" s="424"/>
      <c r="I229" s="425"/>
      <c r="L229" s="479"/>
      <c r="M229" s="479"/>
      <c r="N229" s="479"/>
      <c r="S229" s="448"/>
      <c r="T229" s="448"/>
      <c r="U229" s="448"/>
      <c r="V229" s="448"/>
      <c r="W229" s="448"/>
      <c r="X229" s="448"/>
      <c r="Y229" s="448"/>
      <c r="Z229" s="448"/>
      <c r="AA229" s="448"/>
      <c r="AB229" s="448"/>
      <c r="AC229" s="448"/>
    </row>
    <row r="230" spans="2:36" ht="20.100000000000001" customHeight="1" thickBot="1" x14ac:dyDescent="0.25">
      <c r="F230" s="293">
        <f t="shared" si="75"/>
        <v>0</v>
      </c>
      <c r="G230" s="423">
        <v>40</v>
      </c>
      <c r="H230" s="424"/>
      <c r="I230" s="425"/>
      <c r="L230" s="479"/>
      <c r="M230" s="479"/>
      <c r="N230" s="479"/>
      <c r="S230" s="448"/>
      <c r="T230" s="448"/>
      <c r="U230" s="448"/>
      <c r="V230" s="448"/>
      <c r="W230" s="448"/>
      <c r="X230" s="448"/>
      <c r="Y230" s="448"/>
      <c r="Z230" s="448"/>
      <c r="AA230" s="448"/>
      <c r="AB230" s="448"/>
      <c r="AC230" s="448"/>
    </row>
    <row r="231" spans="2:36" ht="20.100000000000001" customHeight="1" thickBot="1" x14ac:dyDescent="0.25">
      <c r="F231" s="293">
        <f t="shared" si="75"/>
        <v>0</v>
      </c>
      <c r="G231" s="423">
        <v>41</v>
      </c>
      <c r="H231" s="424"/>
      <c r="I231" s="425"/>
      <c r="L231" s="479"/>
      <c r="M231" s="479"/>
      <c r="N231" s="479"/>
      <c r="S231" s="448"/>
      <c r="T231" s="448"/>
      <c r="U231" s="448"/>
      <c r="V231" s="448"/>
      <c r="W231" s="448"/>
      <c r="X231" s="448"/>
      <c r="Y231" s="448"/>
      <c r="Z231" s="448"/>
      <c r="AA231" s="448"/>
      <c r="AB231" s="448"/>
      <c r="AC231" s="448"/>
    </row>
    <row r="232" spans="2:36" ht="20.100000000000001" customHeight="1" thickBot="1" x14ac:dyDescent="0.25">
      <c r="F232" s="293">
        <f t="shared" si="75"/>
        <v>0</v>
      </c>
      <c r="G232" s="423">
        <v>42</v>
      </c>
      <c r="H232" s="424"/>
      <c r="I232" s="425"/>
      <c r="L232" s="479"/>
      <c r="M232" s="479"/>
      <c r="N232" s="479"/>
      <c r="S232" s="448"/>
      <c r="T232" s="448"/>
      <c r="U232" s="448"/>
      <c r="V232" s="448"/>
      <c r="W232" s="448"/>
      <c r="X232" s="448"/>
      <c r="Y232" s="448"/>
      <c r="Z232" s="448"/>
      <c r="AA232" s="448"/>
      <c r="AB232" s="448"/>
      <c r="AC232" s="448"/>
    </row>
    <row r="233" spans="2:36" ht="20.100000000000001" customHeight="1" thickBot="1" x14ac:dyDescent="0.25">
      <c r="F233" s="293">
        <f t="shared" si="75"/>
        <v>0</v>
      </c>
      <c r="G233" s="423">
        <v>43</v>
      </c>
      <c r="H233" s="424"/>
      <c r="I233" s="425"/>
      <c r="L233" s="479"/>
      <c r="M233" s="479"/>
      <c r="N233" s="479"/>
      <c r="S233" s="448"/>
      <c r="T233" s="448"/>
      <c r="U233" s="448"/>
      <c r="V233" s="448"/>
      <c r="W233" s="448"/>
      <c r="X233" s="448"/>
      <c r="Y233" s="448"/>
      <c r="Z233" s="448"/>
      <c r="AA233" s="448"/>
      <c r="AB233" s="448"/>
      <c r="AC233" s="448"/>
    </row>
    <row r="234" spans="2:36" ht="20.100000000000001" customHeight="1" thickBot="1" x14ac:dyDescent="0.25">
      <c r="F234" s="293">
        <f t="shared" si="75"/>
        <v>0</v>
      </c>
      <c r="G234" s="423">
        <v>44</v>
      </c>
      <c r="H234" s="424"/>
      <c r="I234" s="425"/>
      <c r="L234" s="479"/>
      <c r="M234" s="479"/>
      <c r="N234" s="479"/>
      <c r="S234" s="448"/>
      <c r="T234" s="448"/>
      <c r="U234" s="448"/>
      <c r="V234" s="448"/>
      <c r="W234" s="448"/>
      <c r="X234" s="448"/>
      <c r="Y234" s="448"/>
      <c r="Z234" s="448"/>
      <c r="AA234" s="448"/>
      <c r="AB234" s="448"/>
      <c r="AC234" s="448"/>
    </row>
    <row r="235" spans="2:36" ht="20.100000000000001" customHeight="1" thickBot="1" x14ac:dyDescent="0.25">
      <c r="F235" s="293">
        <f t="shared" si="75"/>
        <v>0</v>
      </c>
      <c r="G235" s="423">
        <v>45</v>
      </c>
      <c r="H235" s="424"/>
      <c r="I235" s="425"/>
      <c r="L235" s="479"/>
      <c r="M235" s="479"/>
      <c r="N235" s="479"/>
      <c r="S235" s="448"/>
      <c r="T235" s="448"/>
      <c r="U235" s="448"/>
      <c r="V235" s="448"/>
      <c r="W235" s="448"/>
      <c r="X235" s="448"/>
      <c r="Y235" s="448"/>
      <c r="Z235" s="448"/>
      <c r="AA235" s="448"/>
      <c r="AB235" s="448"/>
      <c r="AC235" s="448"/>
    </row>
    <row r="236" spans="2:36" ht="20.100000000000001" customHeight="1" x14ac:dyDescent="0.2">
      <c r="L236" s="479"/>
      <c r="M236" s="479"/>
      <c r="N236" s="479"/>
      <c r="S236" s="448"/>
      <c r="T236" s="448"/>
      <c r="U236" s="448"/>
      <c r="V236" s="448"/>
      <c r="W236" s="448"/>
      <c r="X236" s="448"/>
      <c r="Y236" s="448"/>
      <c r="Z236" s="448"/>
      <c r="AA236" s="448"/>
      <c r="AB236" s="448"/>
      <c r="AC236" s="448"/>
    </row>
    <row r="237" spans="2:36" ht="20.100000000000001" customHeight="1" x14ac:dyDescent="0.2"/>
    <row r="239" spans="2:36" ht="15.75" thickBot="1" x14ac:dyDescent="0.25"/>
    <row r="240" spans="2:36" ht="51.95" customHeight="1" thickBot="1" x14ac:dyDescent="0.25">
      <c r="B240" s="581" t="s">
        <v>191</v>
      </c>
      <c r="C240" s="582"/>
      <c r="D240" s="582"/>
      <c r="E240" s="582"/>
      <c r="F240" s="582"/>
      <c r="G240" s="582"/>
      <c r="H240" s="582"/>
      <c r="I240" s="582"/>
      <c r="J240" s="582"/>
      <c r="K240" s="582"/>
      <c r="L240" s="582"/>
      <c r="M240" s="582"/>
      <c r="N240" s="582"/>
      <c r="O240" s="582"/>
      <c r="P240" s="582"/>
      <c r="Q240" s="582"/>
      <c r="R240" s="582"/>
      <c r="S240" s="582"/>
      <c r="T240" s="582"/>
      <c r="U240" s="582"/>
      <c r="V240" s="582"/>
      <c r="W240" s="582"/>
      <c r="X240" s="582"/>
      <c r="Y240" s="582"/>
      <c r="Z240" s="582"/>
      <c r="AA240" s="582"/>
      <c r="AB240" s="582"/>
      <c r="AC240" s="582"/>
      <c r="AD240" s="582"/>
      <c r="AE240" s="582"/>
      <c r="AF240" s="582"/>
      <c r="AG240" s="582"/>
      <c r="AH240" s="582"/>
      <c r="AI240" s="582"/>
      <c r="AJ240" s="583"/>
    </row>
    <row r="250" spans="2:18" ht="15.75" thickBot="1" x14ac:dyDescent="0.25"/>
    <row r="251" spans="2:18" ht="16.5" thickBot="1" x14ac:dyDescent="0.25">
      <c r="J251" s="698" t="s">
        <v>2</v>
      </c>
      <c r="K251" s="699"/>
      <c r="L251" s="700"/>
    </row>
    <row r="252" spans="2:18" ht="16.5" thickBot="1" x14ac:dyDescent="0.25">
      <c r="J252" s="683" t="s">
        <v>3</v>
      </c>
      <c r="K252" s="685"/>
      <c r="L252" s="394">
        <f>+C261</f>
        <v>5.9914645471079817</v>
      </c>
    </row>
    <row r="253" spans="2:18" ht="27.75" customHeight="1" thickBot="1" x14ac:dyDescent="0.25">
      <c r="B253" s="269" t="s">
        <v>165</v>
      </c>
      <c r="C253" s="270" t="str">
        <f>+D68</f>
        <v>M1</v>
      </c>
      <c r="D253" s="270" t="str">
        <f>+E68</f>
        <v>M2</v>
      </c>
      <c r="E253" s="271" t="str">
        <f>+F68</f>
        <v>M3</v>
      </c>
      <c r="H253" s="298"/>
      <c r="J253" s="692" t="s">
        <v>192</v>
      </c>
      <c r="K253" s="694"/>
      <c r="L253" s="395" t="e">
        <f>+C260</f>
        <v>#DIV/0!</v>
      </c>
      <c r="M253" s="681" t="e">
        <f>IF(L253&lt;=L252,"Menor que Chi CD","Mayor que Chi CD")</f>
        <v>#DIV/0!</v>
      </c>
      <c r="N253" s="681"/>
      <c r="O253" s="682"/>
    </row>
    <row r="254" spans="2:18" ht="15.75" x14ac:dyDescent="0.25">
      <c r="B254" s="396" t="s">
        <v>76</v>
      </c>
      <c r="C254" s="397" t="e">
        <f>+D59</f>
        <v>#DIV/0!</v>
      </c>
      <c r="D254" s="397" t="e">
        <f>+E59</f>
        <v>#DIV/0!</v>
      </c>
      <c r="E254" s="398" t="e">
        <f>+F59</f>
        <v>#DIV/0!</v>
      </c>
      <c r="H254" s="176"/>
    </row>
    <row r="255" spans="2:18" ht="16.5" thickBot="1" x14ac:dyDescent="0.3">
      <c r="B255" s="399" t="s">
        <v>77</v>
      </c>
      <c r="C255" s="471" t="e">
        <f>_xlfn.VAR.S(D34:D48)</f>
        <v>#DIV/0!</v>
      </c>
      <c r="D255" s="471" t="e">
        <f t="shared" ref="D255:E255" si="76">_xlfn.VAR.S(E34:E48)</f>
        <v>#DIV/0!</v>
      </c>
      <c r="E255" s="471" t="e">
        <f t="shared" si="76"/>
        <v>#DIV/0!</v>
      </c>
      <c r="H255" s="164"/>
    </row>
    <row r="256" spans="2:18" ht="18.75" x14ac:dyDescent="0.2">
      <c r="B256" s="272" t="s">
        <v>45</v>
      </c>
      <c r="C256" s="701">
        <f>+W24</f>
        <v>0</v>
      </c>
      <c r="D256" s="702"/>
      <c r="E256" s="703"/>
      <c r="H256" s="168"/>
      <c r="J256" s="221" t="s">
        <v>202</v>
      </c>
      <c r="K256" s="683" t="s">
        <v>81</v>
      </c>
      <c r="L256" s="684"/>
      <c r="M256" s="684"/>
      <c r="N256" s="684"/>
      <c r="O256" s="684"/>
      <c r="P256" s="684"/>
      <c r="Q256" s="684"/>
      <c r="R256" s="685"/>
    </row>
    <row r="257" spans="2:20" ht="19.5" thickBot="1" x14ac:dyDescent="0.25">
      <c r="B257" s="273" t="s">
        <v>46</v>
      </c>
      <c r="C257" s="704">
        <f>+W25</f>
        <v>3</v>
      </c>
      <c r="D257" s="705"/>
      <c r="E257" s="706"/>
      <c r="H257" s="168"/>
      <c r="J257" s="400" t="s">
        <v>203</v>
      </c>
      <c r="K257" s="692" t="s">
        <v>82</v>
      </c>
      <c r="L257" s="693"/>
      <c r="M257" s="693"/>
      <c r="N257" s="693"/>
      <c r="O257" s="693"/>
      <c r="P257" s="693"/>
      <c r="Q257" s="693"/>
      <c r="R257" s="694"/>
    </row>
    <row r="258" spans="2:20" ht="15.75" thickBot="1" x14ac:dyDescent="0.25">
      <c r="B258" s="273" t="s">
        <v>40</v>
      </c>
      <c r="C258" s="704" t="e">
        <f>(SUM(C255:E255)/C257)</f>
        <v>#DIV/0!</v>
      </c>
      <c r="D258" s="705"/>
      <c r="E258" s="706"/>
      <c r="H258" s="168"/>
    </row>
    <row r="259" spans="2:20" ht="18.75" thickBot="1" x14ac:dyDescent="0.25">
      <c r="B259" s="472" t="s">
        <v>201</v>
      </c>
      <c r="C259" s="720" t="e">
        <f>+(C255*D255*E255)^(1/C257)</f>
        <v>#DIV/0!</v>
      </c>
      <c r="D259" s="721"/>
      <c r="E259" s="722"/>
      <c r="H259" s="168"/>
      <c r="J259" s="590" t="e">
        <f>IF(L253&lt;=L252,"La Hipotesis nula NO se rechaza","Se rechaza la hipotesis nula")</f>
        <v>#DIV/0!</v>
      </c>
      <c r="K259" s="668"/>
      <c r="L259" s="668"/>
      <c r="M259" s="668"/>
      <c r="N259" s="668"/>
      <c r="O259" s="668"/>
      <c r="P259" s="668"/>
      <c r="Q259" s="668"/>
      <c r="R259" s="668"/>
      <c r="S259" s="668"/>
      <c r="T259" s="628"/>
    </row>
    <row r="260" spans="2:20" x14ac:dyDescent="0.2">
      <c r="B260" s="273" t="s">
        <v>78</v>
      </c>
      <c r="C260" s="704" t="e">
        <f>ABS((((C256-C257)/(1+((C257+1)/(3*(C256-C257))))))*(LN(C258/C259)))</f>
        <v>#DIV/0!</v>
      </c>
      <c r="D260" s="705"/>
      <c r="E260" s="706"/>
      <c r="F260" s="707" t="s">
        <v>154</v>
      </c>
      <c r="G260" s="708"/>
      <c r="J260" s="709" t="s">
        <v>190</v>
      </c>
      <c r="K260" s="710"/>
      <c r="L260" s="710"/>
      <c r="M260" s="710"/>
      <c r="N260" s="710"/>
      <c r="O260" s="710"/>
      <c r="P260" s="710"/>
      <c r="Q260" s="710"/>
      <c r="R260" s="710"/>
      <c r="S260" s="710"/>
      <c r="T260" s="711"/>
    </row>
    <row r="261" spans="2:20" ht="15.75" thickBot="1" x14ac:dyDescent="0.25">
      <c r="B261" s="273" t="s">
        <v>79</v>
      </c>
      <c r="C261" s="704">
        <f>CHIINV(0.05,C257-1)</f>
        <v>5.9914645471079817</v>
      </c>
      <c r="D261" s="705"/>
      <c r="E261" s="706"/>
      <c r="F261" s="718" t="s">
        <v>153</v>
      </c>
      <c r="G261" s="719"/>
      <c r="J261" s="712"/>
      <c r="K261" s="713"/>
      <c r="L261" s="713"/>
      <c r="M261" s="713"/>
      <c r="N261" s="713"/>
      <c r="O261" s="713"/>
      <c r="P261" s="713"/>
      <c r="Q261" s="713"/>
      <c r="R261" s="713"/>
      <c r="S261" s="713"/>
      <c r="T261" s="714"/>
    </row>
    <row r="262" spans="2:20" ht="15.75" thickBot="1" x14ac:dyDescent="0.25">
      <c r="B262" s="274" t="s">
        <v>80</v>
      </c>
      <c r="C262" s="723" t="e">
        <f>CHIDIST(C260,C257-1)</f>
        <v>#DIV/0!</v>
      </c>
      <c r="D262" s="724"/>
      <c r="E262" s="725"/>
      <c r="H262" s="168"/>
      <c r="J262" s="712"/>
      <c r="K262" s="713"/>
      <c r="L262" s="713"/>
      <c r="M262" s="713"/>
      <c r="N262" s="713"/>
      <c r="O262" s="713"/>
      <c r="P262" s="713"/>
      <c r="Q262" s="713"/>
      <c r="R262" s="713"/>
      <c r="S262" s="713"/>
      <c r="T262" s="714"/>
    </row>
    <row r="263" spans="2:20" ht="15.75" thickBot="1" x14ac:dyDescent="0.25">
      <c r="J263" s="715"/>
      <c r="K263" s="716"/>
      <c r="L263" s="716"/>
      <c r="M263" s="716"/>
      <c r="N263" s="716"/>
      <c r="O263" s="716"/>
      <c r="P263" s="716"/>
      <c r="Q263" s="716"/>
      <c r="R263" s="716"/>
      <c r="S263" s="716"/>
      <c r="T263" s="717"/>
    </row>
  </sheetData>
  <sheetProtection password="CF5C" sheet="1" objects="1" scenarios="1"/>
  <sortState xmlns:xlrd2="http://schemas.microsoft.com/office/spreadsheetml/2017/richdata2" ref="AD19:AD37">
    <sortCondition ref="AD18"/>
  </sortState>
  <mergeCells count="119">
    <mergeCell ref="D134:E134"/>
    <mergeCell ref="K131:M131"/>
    <mergeCell ref="N131:O131"/>
    <mergeCell ref="P131:Q131"/>
    <mergeCell ref="K132:M132"/>
    <mergeCell ref="N132:O132"/>
    <mergeCell ref="P132:Q132"/>
    <mergeCell ref="D133:E133"/>
    <mergeCell ref="H133:I133"/>
    <mergeCell ref="D132:E132"/>
    <mergeCell ref="D131:E131"/>
    <mergeCell ref="J135:V135"/>
    <mergeCell ref="H54:J54"/>
    <mergeCell ref="S130:S132"/>
    <mergeCell ref="T130:T132"/>
    <mergeCell ref="U130:U132"/>
    <mergeCell ref="K130:M130"/>
    <mergeCell ref="N130:O130"/>
    <mergeCell ref="P130:Q130"/>
    <mergeCell ref="S128:S129"/>
    <mergeCell ref="T128:T129"/>
    <mergeCell ref="U128:U129"/>
    <mergeCell ref="K128:M129"/>
    <mergeCell ref="N128:O129"/>
    <mergeCell ref="H132:I132"/>
    <mergeCell ref="H131:I131"/>
    <mergeCell ref="C258:E258"/>
    <mergeCell ref="F260:G260"/>
    <mergeCell ref="J260:T263"/>
    <mergeCell ref="F261:G261"/>
    <mergeCell ref="C259:E259"/>
    <mergeCell ref="C260:E260"/>
    <mergeCell ref="C261:E261"/>
    <mergeCell ref="C262:E262"/>
    <mergeCell ref="J259:T259"/>
    <mergeCell ref="K257:R257"/>
    <mergeCell ref="S214:AC214"/>
    <mergeCell ref="T212:W212"/>
    <mergeCell ref="B240:AJ240"/>
    <mergeCell ref="J251:L251"/>
    <mergeCell ref="J252:K252"/>
    <mergeCell ref="J253:K253"/>
    <mergeCell ref="C256:E256"/>
    <mergeCell ref="C257:E257"/>
    <mergeCell ref="S210:T210"/>
    <mergeCell ref="S190:AC190"/>
    <mergeCell ref="T203:W203"/>
    <mergeCell ref="B189:D189"/>
    <mergeCell ref="T211:W211"/>
    <mergeCell ref="V210:AA210"/>
    <mergeCell ref="S215:AC218"/>
    <mergeCell ref="M253:O253"/>
    <mergeCell ref="K256:R256"/>
    <mergeCell ref="S209:T209"/>
    <mergeCell ref="S208:U208"/>
    <mergeCell ref="T204:W204"/>
    <mergeCell ref="M182:N182"/>
    <mergeCell ref="O182:P182"/>
    <mergeCell ref="M183:N183"/>
    <mergeCell ref="O183:P183"/>
    <mergeCell ref="M185:R186"/>
    <mergeCell ref="L189:N189"/>
    <mergeCell ref="F190:G190"/>
    <mergeCell ref="H190:I190"/>
    <mergeCell ref="B188:AJ188"/>
    <mergeCell ref="F189:I189"/>
    <mergeCell ref="D144:G144"/>
    <mergeCell ref="B154:AJ154"/>
    <mergeCell ref="D172:F172"/>
    <mergeCell ref="D173:F173"/>
    <mergeCell ref="D174:F174"/>
    <mergeCell ref="O166:Q166"/>
    <mergeCell ref="H176:I176"/>
    <mergeCell ref="H179:I179"/>
    <mergeCell ref="M175:N176"/>
    <mergeCell ref="O175:P175"/>
    <mergeCell ref="O176:P176"/>
    <mergeCell ref="E179:G179"/>
    <mergeCell ref="D175:F175"/>
    <mergeCell ref="T26:V26"/>
    <mergeCell ref="B12:AJ12"/>
    <mergeCell ref="AF32:AJ32"/>
    <mergeCell ref="AG33:AH33"/>
    <mergeCell ref="K32:Z32"/>
    <mergeCell ref="B130:C130"/>
    <mergeCell ref="P128:Q129"/>
    <mergeCell ref="R128:R129"/>
    <mergeCell ref="D130:E130"/>
    <mergeCell ref="G130:I130"/>
    <mergeCell ref="J126:V126"/>
    <mergeCell ref="K123:L123"/>
    <mergeCell ref="R123:S123"/>
    <mergeCell ref="J87:J101"/>
    <mergeCell ref="R87:R101"/>
    <mergeCell ref="K85:M85"/>
    <mergeCell ref="V128:V129"/>
    <mergeCell ref="V130:V132"/>
    <mergeCell ref="R68:R83"/>
    <mergeCell ref="J68:J83"/>
    <mergeCell ref="T24:V24"/>
    <mergeCell ref="T25:V25"/>
    <mergeCell ref="A8:AJ10"/>
    <mergeCell ref="AA6:AD7"/>
    <mergeCell ref="AE6:AJ7"/>
    <mergeCell ref="A2:C4"/>
    <mergeCell ref="A5:J5"/>
    <mergeCell ref="D2:AJ4"/>
    <mergeCell ref="A6:C6"/>
    <mergeCell ref="A7:C7"/>
    <mergeCell ref="S7:T7"/>
    <mergeCell ref="D6:H6"/>
    <mergeCell ref="D7:H7"/>
    <mergeCell ref="I6:L6"/>
    <mergeCell ref="M6:R6"/>
    <mergeCell ref="M7:R7"/>
    <mergeCell ref="S6:T6"/>
    <mergeCell ref="I7:L7"/>
    <mergeCell ref="U6:Z6"/>
    <mergeCell ref="U7:Z7"/>
  </mergeCells>
  <conditionalFormatting sqref="I191:I235">
    <cfRule type="cellIs" dxfId="11" priority="7" operator="equal">
      <formula>0</formula>
    </cfRule>
  </conditionalFormatting>
  <conditionalFormatting sqref="V210">
    <cfRule type="cellIs" dxfId="10" priority="5" operator="equal">
      <formula>"Mayor que Chi CD"</formula>
    </cfRule>
    <cfRule type="cellIs" dxfId="9" priority="6" operator="equal">
      <formula>"Menor que Chi CD"</formula>
    </cfRule>
  </conditionalFormatting>
  <conditionalFormatting sqref="S214">
    <cfRule type="cellIs" dxfId="8" priority="4" operator="equal">
      <formula>"Se rechaza la hipotesis nula"</formula>
    </cfRule>
  </conditionalFormatting>
  <conditionalFormatting sqref="M253:O253">
    <cfRule type="cellIs" dxfId="7" priority="2" operator="equal">
      <formula>"Mayor que Chi CD"</formula>
    </cfRule>
    <cfRule type="cellIs" dxfId="6" priority="3" operator="equal">
      <formula>"Menor que Chi CD"</formula>
    </cfRule>
  </conditionalFormatting>
  <conditionalFormatting sqref="J259">
    <cfRule type="cellIs" dxfId="5" priority="1" operator="equal">
      <formula>"Se rechaza la hipotesis nula"</formula>
    </cfRule>
  </conditionalFormatting>
  <pageMargins left="0.70866141732283472" right="0.70866141732283472" top="0.74803149606299213" bottom="0.74803149606299213" header="0.31496062992125984" footer="0.31496062992125984"/>
  <pageSetup scale="17" orientation="portrait" r:id="rId1"/>
  <headerFooter>
    <oddFooter>&amp;RRT03-F25 Vr. 5 (2021-05-24)</oddFooter>
  </headerFooter>
  <rowBreaks count="2" manualBreakCount="2">
    <brk id="187" max="36" man="1"/>
    <brk id="237" max="16383" man="1"/>
  </rowBreaks>
  <drawing r:id="rId2"/>
  <legacyDrawing r:id="rId3"/>
  <tableParts count="1">
    <tablePart r:id="rId4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92D050"/>
  </sheetPr>
  <dimension ref="A1:J27"/>
  <sheetViews>
    <sheetView showGridLines="0" workbookViewId="0">
      <selection activeCell="L138" sqref="L138:T153"/>
    </sheetView>
  </sheetViews>
  <sheetFormatPr baseColWidth="10" defaultRowHeight="15" x14ac:dyDescent="0.25"/>
  <cols>
    <col min="1" max="1" width="14.85546875" customWidth="1"/>
    <col min="2" max="2" width="13.7109375" customWidth="1"/>
    <col min="3" max="3" width="18.7109375" customWidth="1"/>
    <col min="4" max="4" width="13.7109375" customWidth="1"/>
    <col min="5" max="5" width="17.42578125" customWidth="1"/>
    <col min="6" max="8" width="13.7109375" customWidth="1"/>
    <col min="9" max="9" width="20.5703125" customWidth="1"/>
    <col min="10" max="10" width="19.42578125" customWidth="1"/>
  </cols>
  <sheetData>
    <row r="1" spans="1:10" ht="24" customHeight="1" x14ac:dyDescent="0.25">
      <c r="A1" s="545"/>
      <c r="B1" s="546"/>
      <c r="C1" s="547"/>
      <c r="D1" s="804" t="s">
        <v>166</v>
      </c>
      <c r="E1" s="805"/>
      <c r="F1" s="805"/>
      <c r="G1" s="805"/>
      <c r="H1" s="805"/>
      <c r="I1" s="805"/>
      <c r="J1" s="806"/>
    </row>
    <row r="2" spans="1:10" ht="24" customHeight="1" x14ac:dyDescent="0.25">
      <c r="A2" s="548"/>
      <c r="B2" s="549"/>
      <c r="C2" s="550"/>
      <c r="D2" s="807"/>
      <c r="E2" s="808"/>
      <c r="F2" s="808"/>
      <c r="G2" s="808"/>
      <c r="H2" s="808"/>
      <c r="I2" s="808"/>
      <c r="J2" s="809"/>
    </row>
    <row r="3" spans="1:10" ht="24" customHeight="1" thickBot="1" x14ac:dyDescent="0.3">
      <c r="A3" s="551"/>
      <c r="B3" s="552"/>
      <c r="C3" s="553"/>
      <c r="D3" s="810"/>
      <c r="E3" s="811"/>
      <c r="F3" s="811"/>
      <c r="G3" s="811"/>
      <c r="H3" s="811"/>
      <c r="I3" s="811"/>
      <c r="J3" s="812"/>
    </row>
    <row r="4" spans="1:10" ht="15.75" thickBot="1" x14ac:dyDescent="0.3">
      <c r="A4" s="813"/>
      <c r="B4" s="813"/>
      <c r="C4" s="813"/>
      <c r="D4" s="813"/>
      <c r="E4" s="813"/>
      <c r="F4" s="813"/>
      <c r="G4" s="813"/>
      <c r="H4" s="813"/>
      <c r="I4" s="813"/>
      <c r="J4" s="813"/>
    </row>
    <row r="5" spans="1:10" ht="34.5" customHeight="1" thickTop="1" thickBot="1" x14ac:dyDescent="0.3">
      <c r="A5" s="276" t="s">
        <v>167</v>
      </c>
      <c r="B5" s="814"/>
      <c r="C5" s="815"/>
      <c r="D5" s="276" t="s">
        <v>168</v>
      </c>
      <c r="E5" s="277"/>
      <c r="F5" s="276" t="s">
        <v>169</v>
      </c>
      <c r="G5" s="814"/>
      <c r="H5" s="815"/>
      <c r="I5" s="276" t="s">
        <v>170</v>
      </c>
      <c r="J5" s="278"/>
    </row>
    <row r="6" spans="1:10" ht="33" thickTop="1" thickBot="1" x14ac:dyDescent="0.3">
      <c r="A6" s="793" t="s">
        <v>171</v>
      </c>
      <c r="B6" s="794"/>
      <c r="C6" s="504"/>
      <c r="D6" s="276"/>
      <c r="E6" s="276" t="s">
        <v>172</v>
      </c>
      <c r="F6" s="816"/>
      <c r="G6" s="817"/>
      <c r="H6" s="818"/>
      <c r="I6" s="276" t="s">
        <v>173</v>
      </c>
      <c r="J6" s="503"/>
    </row>
    <row r="7" spans="1:10" ht="9" customHeight="1" thickTop="1" thickBot="1" x14ac:dyDescent="0.3">
      <c r="A7" s="284"/>
      <c r="B7" s="285"/>
      <c r="C7" s="285"/>
      <c r="D7" s="286"/>
      <c r="E7" s="286"/>
      <c r="F7" s="286"/>
      <c r="G7" s="285"/>
      <c r="H7" s="285"/>
      <c r="I7" s="287"/>
      <c r="J7" s="288"/>
    </row>
    <row r="8" spans="1:10" x14ac:dyDescent="0.25">
      <c r="A8" s="775"/>
      <c r="B8" s="776"/>
      <c r="C8" s="776"/>
      <c r="D8" s="776"/>
      <c r="E8" s="776"/>
      <c r="F8" s="776"/>
      <c r="G8" s="776"/>
      <c r="H8" s="776"/>
      <c r="I8" s="776"/>
      <c r="J8" s="777"/>
    </row>
    <row r="9" spans="1:10" ht="15.75" thickBot="1" x14ac:dyDescent="0.3">
      <c r="A9" s="778"/>
      <c r="B9" s="779"/>
      <c r="C9" s="779"/>
      <c r="D9" s="779"/>
      <c r="E9" s="779"/>
      <c r="F9" s="779"/>
      <c r="G9" s="779"/>
      <c r="H9" s="779"/>
      <c r="I9" s="779"/>
      <c r="J9" s="780"/>
    </row>
    <row r="10" spans="1:10" ht="33.75" customHeight="1" thickBot="1" x14ac:dyDescent="0.3">
      <c r="A10" s="781" t="s">
        <v>174</v>
      </c>
      <c r="B10" s="782"/>
      <c r="C10" s="782"/>
      <c r="D10" s="782"/>
      <c r="E10" s="782"/>
      <c r="F10" s="782"/>
      <c r="G10" s="782"/>
      <c r="H10" s="782"/>
      <c r="I10" s="782"/>
      <c r="J10" s="783"/>
    </row>
    <row r="11" spans="1:10" ht="15.75" customHeight="1" x14ac:dyDescent="0.25">
      <c r="A11" s="795"/>
      <c r="B11" s="796"/>
      <c r="C11" s="796"/>
      <c r="D11" s="796"/>
      <c r="E11" s="796"/>
      <c r="F11" s="796"/>
      <c r="G11" s="796"/>
      <c r="H11" s="796"/>
      <c r="I11" s="796"/>
      <c r="J11" s="797"/>
    </row>
    <row r="12" spans="1:10" x14ac:dyDescent="0.25">
      <c r="A12" s="798"/>
      <c r="B12" s="799"/>
      <c r="C12" s="799"/>
      <c r="D12" s="799"/>
      <c r="E12" s="799"/>
      <c r="F12" s="799"/>
      <c r="G12" s="799"/>
      <c r="H12" s="799"/>
      <c r="I12" s="799"/>
      <c r="J12" s="800"/>
    </row>
    <row r="13" spans="1:10" x14ac:dyDescent="0.25">
      <c r="A13" s="798"/>
      <c r="B13" s="799"/>
      <c r="C13" s="799"/>
      <c r="D13" s="799"/>
      <c r="E13" s="799"/>
      <c r="F13" s="799"/>
      <c r="G13" s="799"/>
      <c r="H13" s="799"/>
      <c r="I13" s="799"/>
      <c r="J13" s="800"/>
    </row>
    <row r="14" spans="1:10" x14ac:dyDescent="0.25">
      <c r="A14" s="798"/>
      <c r="B14" s="799"/>
      <c r="C14" s="799"/>
      <c r="D14" s="799"/>
      <c r="E14" s="799"/>
      <c r="F14" s="799"/>
      <c r="G14" s="799"/>
      <c r="H14" s="799"/>
      <c r="I14" s="799"/>
      <c r="J14" s="800"/>
    </row>
    <row r="15" spans="1:10" x14ac:dyDescent="0.25">
      <c r="A15" s="798"/>
      <c r="B15" s="799"/>
      <c r="C15" s="799"/>
      <c r="D15" s="799"/>
      <c r="E15" s="799"/>
      <c r="F15" s="799"/>
      <c r="G15" s="799"/>
      <c r="H15" s="799"/>
      <c r="I15" s="799"/>
      <c r="J15" s="800"/>
    </row>
    <row r="16" spans="1:10" x14ac:dyDescent="0.25">
      <c r="A16" s="798"/>
      <c r="B16" s="799"/>
      <c r="C16" s="799"/>
      <c r="D16" s="799"/>
      <c r="E16" s="799"/>
      <c r="F16" s="799"/>
      <c r="G16" s="799"/>
      <c r="H16" s="799"/>
      <c r="I16" s="799"/>
      <c r="J16" s="800"/>
    </row>
    <row r="17" spans="1:10" x14ac:dyDescent="0.25">
      <c r="A17" s="798"/>
      <c r="B17" s="799"/>
      <c r="C17" s="799"/>
      <c r="D17" s="799"/>
      <c r="E17" s="799"/>
      <c r="F17" s="799"/>
      <c r="G17" s="799"/>
      <c r="H17" s="799"/>
      <c r="I17" s="799"/>
      <c r="J17" s="800"/>
    </row>
    <row r="18" spans="1:10" x14ac:dyDescent="0.25">
      <c r="A18" s="798"/>
      <c r="B18" s="799"/>
      <c r="C18" s="799"/>
      <c r="D18" s="799"/>
      <c r="E18" s="799"/>
      <c r="F18" s="799"/>
      <c r="G18" s="799"/>
      <c r="H18" s="799"/>
      <c r="I18" s="799"/>
      <c r="J18" s="800"/>
    </row>
    <row r="19" spans="1:10" x14ac:dyDescent="0.25">
      <c r="A19" s="798"/>
      <c r="B19" s="799"/>
      <c r="C19" s="799"/>
      <c r="D19" s="799"/>
      <c r="E19" s="799"/>
      <c r="F19" s="799"/>
      <c r="G19" s="799"/>
      <c r="H19" s="799"/>
      <c r="I19" s="799"/>
      <c r="J19" s="800"/>
    </row>
    <row r="20" spans="1:10" x14ac:dyDescent="0.25">
      <c r="A20" s="798"/>
      <c r="B20" s="799"/>
      <c r="C20" s="799"/>
      <c r="D20" s="799"/>
      <c r="E20" s="799"/>
      <c r="F20" s="799"/>
      <c r="G20" s="799"/>
      <c r="H20" s="799"/>
      <c r="I20" s="799"/>
      <c r="J20" s="800"/>
    </row>
    <row r="21" spans="1:10" x14ac:dyDescent="0.25">
      <c r="A21" s="798"/>
      <c r="B21" s="799"/>
      <c r="C21" s="799"/>
      <c r="D21" s="799"/>
      <c r="E21" s="799"/>
      <c r="F21" s="799"/>
      <c r="G21" s="799"/>
      <c r="H21" s="799"/>
      <c r="I21" s="799"/>
      <c r="J21" s="800"/>
    </row>
    <row r="22" spans="1:10" x14ac:dyDescent="0.25">
      <c r="A22" s="798"/>
      <c r="B22" s="799"/>
      <c r="C22" s="799"/>
      <c r="D22" s="799"/>
      <c r="E22" s="799"/>
      <c r="F22" s="799"/>
      <c r="G22" s="799"/>
      <c r="H22" s="799"/>
      <c r="I22" s="799"/>
      <c r="J22" s="800"/>
    </row>
    <row r="23" spans="1:10" ht="15.75" thickBot="1" x14ac:dyDescent="0.3">
      <c r="A23" s="801"/>
      <c r="B23" s="802"/>
      <c r="C23" s="802"/>
      <c r="D23" s="802"/>
      <c r="E23" s="802"/>
      <c r="F23" s="802"/>
      <c r="G23" s="802"/>
      <c r="H23" s="802"/>
      <c r="I23" s="802"/>
      <c r="J23" s="803"/>
    </row>
    <row r="24" spans="1:10" ht="25.5" customHeight="1" thickBot="1" x14ac:dyDescent="0.3">
      <c r="A24" s="784" t="s">
        <v>185</v>
      </c>
      <c r="B24" s="785"/>
      <c r="C24" s="785"/>
      <c r="D24" s="785"/>
      <c r="E24" s="785"/>
      <c r="F24" s="785"/>
      <c r="G24" s="785"/>
      <c r="H24" s="785"/>
      <c r="I24" s="785"/>
      <c r="J24" s="786"/>
    </row>
    <row r="25" spans="1:10" ht="99.75" customHeight="1" x14ac:dyDescent="0.25">
      <c r="A25" s="787"/>
      <c r="B25" s="788"/>
      <c r="C25" s="788"/>
      <c r="D25" s="788"/>
      <c r="E25" s="788"/>
      <c r="F25" s="788"/>
      <c r="G25" s="788"/>
      <c r="H25" s="788"/>
      <c r="I25" s="788"/>
      <c r="J25" s="789"/>
    </row>
    <row r="26" spans="1:10" ht="98.25" customHeight="1" thickBot="1" x14ac:dyDescent="0.3">
      <c r="A26" s="790"/>
      <c r="B26" s="791"/>
      <c r="C26" s="791"/>
      <c r="D26" s="791"/>
      <c r="E26" s="791"/>
      <c r="F26" s="791"/>
      <c r="G26" s="791"/>
      <c r="H26" s="791"/>
      <c r="I26" s="791"/>
      <c r="J26" s="792"/>
    </row>
    <row r="27" spans="1:10" ht="15.75" thickTop="1" x14ac:dyDescent="0.25"/>
  </sheetData>
  <sheetProtection password="CF5C" sheet="1" objects="1" scenarios="1"/>
  <mergeCells count="12">
    <mergeCell ref="A1:C3"/>
    <mergeCell ref="D1:J3"/>
    <mergeCell ref="A4:J4"/>
    <mergeCell ref="B5:C5"/>
    <mergeCell ref="G5:H5"/>
    <mergeCell ref="A8:J9"/>
    <mergeCell ref="A10:J10"/>
    <mergeCell ref="A24:J24"/>
    <mergeCell ref="A25:J26"/>
    <mergeCell ref="A6:B6"/>
    <mergeCell ref="A11:J23"/>
    <mergeCell ref="F6:H6"/>
  </mergeCells>
  <pageMargins left="0.70866141732283472" right="0.70866141732283472" top="0.74803149606299213" bottom="0.74803149606299213" header="0.31496062992125984" footer="0.31496062992125984"/>
  <pageSetup scale="18" orientation="portrait" r:id="rId1"/>
  <headerFooter>
    <oddFooter>&amp;RRT03-F25 Vr. 5 (2021-05-24)</oddFooter>
  </headerFooter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100-000000000000}">
          <x14:formula1>
            <xm:f>Datos!$B$3:$B$14</xm:f>
          </x14:formula1>
          <xm:sqref>A8:J9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</sheetPr>
  <dimension ref="A1:AC61"/>
  <sheetViews>
    <sheetView showGridLines="0" view="pageBreakPreview" zoomScale="50" zoomScaleNormal="100" zoomScaleSheetLayoutView="50" workbookViewId="0">
      <selection activeCell="U24" sqref="U24:Y25"/>
    </sheetView>
  </sheetViews>
  <sheetFormatPr baseColWidth="10" defaultRowHeight="15" x14ac:dyDescent="0.2"/>
  <cols>
    <col min="1" max="2" width="11.42578125" style="480"/>
    <col min="3" max="3" width="16.28515625" style="480" customWidth="1"/>
    <col min="4" max="4" width="13.140625" style="480" customWidth="1"/>
    <col min="5" max="10" width="11.42578125" style="480"/>
    <col min="11" max="11" width="20.7109375" style="480" customWidth="1"/>
    <col min="12" max="15" width="11.42578125" style="480"/>
    <col min="16" max="16" width="18.42578125" style="480" customWidth="1"/>
    <col min="17" max="16384" width="11.42578125" style="480"/>
  </cols>
  <sheetData>
    <row r="1" spans="1:26" ht="40.5" customHeight="1" x14ac:dyDescent="0.2">
      <c r="A1" s="819"/>
      <c r="B1" s="819"/>
      <c r="C1" s="819"/>
      <c r="D1" s="819"/>
      <c r="E1" s="819"/>
      <c r="F1" s="819"/>
      <c r="G1" s="822" t="s">
        <v>195</v>
      </c>
      <c r="H1" s="823"/>
      <c r="I1" s="823"/>
      <c r="J1" s="823"/>
      <c r="K1" s="823"/>
      <c r="L1" s="823"/>
      <c r="M1" s="823"/>
      <c r="N1" s="823"/>
      <c r="O1" s="823"/>
      <c r="P1" s="823"/>
      <c r="Q1" s="823"/>
      <c r="R1" s="823"/>
      <c r="S1" s="823"/>
      <c r="T1" s="823"/>
      <c r="U1" s="823"/>
      <c r="V1" s="823"/>
      <c r="W1" s="823"/>
      <c r="X1" s="823"/>
      <c r="Y1" s="823"/>
      <c r="Z1" s="824"/>
    </row>
    <row r="2" spans="1:26" ht="37.5" customHeight="1" x14ac:dyDescent="0.2">
      <c r="A2" s="820"/>
      <c r="B2" s="820"/>
      <c r="C2" s="820"/>
      <c r="D2" s="820"/>
      <c r="E2" s="820"/>
      <c r="F2" s="820"/>
      <c r="G2" s="825"/>
      <c r="H2" s="826"/>
      <c r="I2" s="826"/>
      <c r="J2" s="826"/>
      <c r="K2" s="826"/>
      <c r="L2" s="826"/>
      <c r="M2" s="826"/>
      <c r="N2" s="826"/>
      <c r="O2" s="826"/>
      <c r="P2" s="826"/>
      <c r="Q2" s="826"/>
      <c r="R2" s="826"/>
      <c r="S2" s="826"/>
      <c r="T2" s="826"/>
      <c r="U2" s="826"/>
      <c r="V2" s="826"/>
      <c r="W2" s="826"/>
      <c r="X2" s="826"/>
      <c r="Y2" s="826"/>
      <c r="Z2" s="827"/>
    </row>
    <row r="3" spans="1:26" ht="45" customHeight="1" x14ac:dyDescent="0.2">
      <c r="A3" s="821"/>
      <c r="B3" s="821"/>
      <c r="C3" s="821"/>
      <c r="D3" s="821"/>
      <c r="E3" s="821"/>
      <c r="F3" s="821"/>
      <c r="G3" s="828"/>
      <c r="H3" s="829"/>
      <c r="I3" s="829"/>
      <c r="J3" s="829"/>
      <c r="K3" s="829"/>
      <c r="L3" s="829"/>
      <c r="M3" s="829"/>
      <c r="N3" s="829"/>
      <c r="O3" s="829"/>
      <c r="P3" s="829"/>
      <c r="Q3" s="829"/>
      <c r="R3" s="829"/>
      <c r="S3" s="829"/>
      <c r="T3" s="829"/>
      <c r="U3" s="829"/>
      <c r="V3" s="829"/>
      <c r="W3" s="829"/>
      <c r="X3" s="829"/>
      <c r="Y3" s="829"/>
      <c r="Z3" s="830"/>
    </row>
    <row r="5" spans="1:26" ht="15.75" thickBot="1" x14ac:dyDescent="0.25"/>
    <row r="6" spans="1:26" s="484" customFormat="1" ht="45.75" customHeight="1" thickBot="1" x14ac:dyDescent="0.3">
      <c r="B6" s="501">
        <v>1</v>
      </c>
      <c r="C6" s="500">
        <v>2</v>
      </c>
      <c r="D6" s="500">
        <v>3</v>
      </c>
      <c r="E6" s="500">
        <v>4</v>
      </c>
      <c r="F6" s="500">
        <v>5</v>
      </c>
      <c r="G6" s="500">
        <v>6</v>
      </c>
      <c r="H6" s="500">
        <v>7</v>
      </c>
      <c r="I6" s="500">
        <v>8</v>
      </c>
      <c r="J6" s="500">
        <v>9</v>
      </c>
      <c r="K6" s="500">
        <v>10</v>
      </c>
      <c r="L6" s="502">
        <v>11</v>
      </c>
      <c r="U6" s="625" t="s">
        <v>220</v>
      </c>
      <c r="V6" s="626"/>
      <c r="W6" s="626"/>
      <c r="X6" s="627"/>
    </row>
    <row r="7" spans="1:26" ht="50.1" customHeight="1" thickBot="1" x14ac:dyDescent="0.25">
      <c r="B7" s="505" t="s">
        <v>206</v>
      </c>
      <c r="C7" s="506" t="s">
        <v>207</v>
      </c>
      <c r="D7" s="506" t="s">
        <v>208</v>
      </c>
      <c r="E7" s="506" t="s">
        <v>209</v>
      </c>
      <c r="F7" s="506" t="s">
        <v>210</v>
      </c>
      <c r="G7" s="506" t="s">
        <v>211</v>
      </c>
      <c r="H7" s="506" t="s">
        <v>212</v>
      </c>
      <c r="I7" s="506" t="s">
        <v>213</v>
      </c>
      <c r="J7" s="506" t="s">
        <v>214</v>
      </c>
      <c r="K7" s="506" t="s">
        <v>215</v>
      </c>
      <c r="L7" s="507" t="s">
        <v>223</v>
      </c>
      <c r="U7" s="501" t="s">
        <v>155</v>
      </c>
      <c r="V7" s="500" t="s">
        <v>225</v>
      </c>
      <c r="W7" s="500" t="s">
        <v>216</v>
      </c>
      <c r="X7" s="502" t="s">
        <v>217</v>
      </c>
    </row>
    <row r="8" spans="1:26" ht="30" customHeight="1" thickBot="1" x14ac:dyDescent="0.25">
      <c r="B8" s="508"/>
      <c r="C8" s="509"/>
      <c r="D8" s="510"/>
      <c r="E8" s="510"/>
      <c r="F8" s="511"/>
      <c r="G8" s="511"/>
      <c r="H8" s="509"/>
      <c r="I8" s="509"/>
      <c r="J8" s="509"/>
      <c r="K8" s="509"/>
      <c r="L8" s="512"/>
      <c r="S8" s="496"/>
      <c r="U8" s="513"/>
      <c r="V8" s="523"/>
      <c r="W8" s="524"/>
      <c r="X8" s="525"/>
    </row>
    <row r="9" spans="1:26" ht="30" customHeight="1" x14ac:dyDescent="0.2">
      <c r="B9" s="513"/>
      <c r="C9" s="514"/>
      <c r="D9" s="515"/>
      <c r="E9" s="515"/>
      <c r="F9" s="516"/>
      <c r="G9" s="516"/>
      <c r="H9" s="514"/>
      <c r="I9" s="514"/>
      <c r="J9" s="514"/>
      <c r="K9" s="514"/>
      <c r="L9" s="517"/>
      <c r="P9" s="497" t="s">
        <v>221</v>
      </c>
      <c r="Q9" s="491" t="e">
        <f>AVERAGE(D8:D52)</f>
        <v>#DIV/0!</v>
      </c>
      <c r="U9" s="513"/>
      <c r="V9" s="523"/>
      <c r="W9" s="524"/>
      <c r="X9" s="525"/>
    </row>
    <row r="10" spans="1:26" ht="30" customHeight="1" x14ac:dyDescent="0.2">
      <c r="B10" s="513"/>
      <c r="C10" s="514"/>
      <c r="D10" s="515"/>
      <c r="E10" s="515"/>
      <c r="F10" s="516"/>
      <c r="G10" s="516"/>
      <c r="H10" s="514"/>
      <c r="I10" s="514"/>
      <c r="J10" s="514"/>
      <c r="K10" s="514"/>
      <c r="L10" s="517"/>
      <c r="P10" s="495" t="s">
        <v>226</v>
      </c>
      <c r="Q10" s="492" t="e">
        <f>_xlfn.STDEV.S(D8:D52)</f>
        <v>#DIV/0!</v>
      </c>
      <c r="U10" s="513"/>
      <c r="V10" s="523"/>
      <c r="W10" s="524"/>
      <c r="X10" s="525"/>
    </row>
    <row r="11" spans="1:26" ht="30" customHeight="1" x14ac:dyDescent="0.2">
      <c r="B11" s="513"/>
      <c r="C11" s="514"/>
      <c r="D11" s="515"/>
      <c r="E11" s="515"/>
      <c r="F11" s="516"/>
      <c r="G11" s="516"/>
      <c r="H11" s="514"/>
      <c r="I11" s="514"/>
      <c r="J11" s="514"/>
      <c r="K11" s="514"/>
      <c r="L11" s="517"/>
      <c r="P11" s="495" t="s">
        <v>224</v>
      </c>
      <c r="Q11" s="493">
        <v>0.05</v>
      </c>
      <c r="U11" s="513"/>
      <c r="V11" s="523"/>
      <c r="W11" s="524"/>
      <c r="X11" s="525"/>
    </row>
    <row r="12" spans="1:26" ht="30" customHeight="1" x14ac:dyDescent="0.2">
      <c r="B12" s="513"/>
      <c r="C12" s="514"/>
      <c r="D12" s="515"/>
      <c r="E12" s="515"/>
      <c r="F12" s="516"/>
      <c r="G12" s="516"/>
      <c r="H12" s="514"/>
      <c r="I12" s="514"/>
      <c r="J12" s="514"/>
      <c r="K12" s="514"/>
      <c r="L12" s="517"/>
      <c r="P12" s="495" t="s">
        <v>222</v>
      </c>
      <c r="Q12" s="493">
        <v>0.752</v>
      </c>
      <c r="U12" s="513"/>
      <c r="V12" s="523"/>
      <c r="W12" s="524"/>
      <c r="X12" s="525"/>
    </row>
    <row r="13" spans="1:26" ht="30" customHeight="1" x14ac:dyDescent="0.2">
      <c r="B13" s="513"/>
      <c r="C13" s="514"/>
      <c r="D13" s="515"/>
      <c r="E13" s="515"/>
      <c r="F13" s="516"/>
      <c r="G13" s="516"/>
      <c r="H13" s="514"/>
      <c r="I13" s="514"/>
      <c r="J13" s="514"/>
      <c r="K13" s="514"/>
      <c r="L13" s="517"/>
      <c r="P13" s="495" t="s">
        <v>218</v>
      </c>
      <c r="Q13" s="493">
        <f>COUNT(B8:B52)</f>
        <v>0</v>
      </c>
      <c r="U13" s="513"/>
      <c r="V13" s="523"/>
      <c r="W13" s="524"/>
      <c r="X13" s="525"/>
    </row>
    <row r="14" spans="1:26" ht="30" customHeight="1" x14ac:dyDescent="0.2">
      <c r="B14" s="513"/>
      <c r="C14" s="514"/>
      <c r="D14" s="515"/>
      <c r="E14" s="515"/>
      <c r="F14" s="516"/>
      <c r="G14" s="516"/>
      <c r="H14" s="514"/>
      <c r="I14" s="514"/>
      <c r="J14" s="514"/>
      <c r="K14" s="514"/>
      <c r="L14" s="517"/>
      <c r="P14" s="495" t="s">
        <v>219</v>
      </c>
      <c r="Q14" s="494">
        <f>SUM(L8:L52)</f>
        <v>0</v>
      </c>
      <c r="U14" s="513"/>
      <c r="V14" s="523"/>
      <c r="W14" s="524"/>
      <c r="X14" s="525"/>
    </row>
    <row r="15" spans="1:26" ht="30" customHeight="1" thickBot="1" x14ac:dyDescent="0.25">
      <c r="B15" s="513"/>
      <c r="C15" s="514"/>
      <c r="D15" s="515"/>
      <c r="E15" s="515"/>
      <c r="F15" s="516"/>
      <c r="G15" s="516"/>
      <c r="H15" s="514"/>
      <c r="I15" s="514"/>
      <c r="J15" s="514"/>
      <c r="K15" s="514"/>
      <c r="L15" s="517"/>
      <c r="P15" s="498" t="s">
        <v>227</v>
      </c>
      <c r="Q15" s="499">
        <f>-Q13-Q14</f>
        <v>0</v>
      </c>
      <c r="U15" s="513"/>
      <c r="V15" s="523"/>
      <c r="W15" s="524"/>
      <c r="X15" s="525"/>
    </row>
    <row r="16" spans="1:26" ht="30" customHeight="1" x14ac:dyDescent="0.2">
      <c r="B16" s="513"/>
      <c r="C16" s="514"/>
      <c r="D16" s="515"/>
      <c r="E16" s="515"/>
      <c r="F16" s="516"/>
      <c r="G16" s="516"/>
      <c r="H16" s="514"/>
      <c r="I16" s="514"/>
      <c r="J16" s="514"/>
      <c r="K16" s="514"/>
      <c r="L16" s="517"/>
      <c r="U16" s="513"/>
      <c r="V16" s="523"/>
      <c r="W16" s="524"/>
      <c r="X16" s="525"/>
    </row>
    <row r="17" spans="2:29" ht="30" customHeight="1" thickBot="1" x14ac:dyDescent="0.25">
      <c r="B17" s="513"/>
      <c r="C17" s="514"/>
      <c r="D17" s="515"/>
      <c r="E17" s="515"/>
      <c r="F17" s="516"/>
      <c r="G17" s="516"/>
      <c r="H17" s="514"/>
      <c r="I17" s="514"/>
      <c r="J17" s="514"/>
      <c r="K17" s="514"/>
      <c r="L17" s="517"/>
      <c r="U17" s="513"/>
      <c r="V17" s="523"/>
      <c r="W17" s="524"/>
      <c r="X17" s="525"/>
    </row>
    <row r="18" spans="2:29" ht="30" customHeight="1" x14ac:dyDescent="0.2">
      <c r="B18" s="513"/>
      <c r="C18" s="514"/>
      <c r="D18" s="515"/>
      <c r="E18" s="515"/>
      <c r="F18" s="516"/>
      <c r="G18" s="516"/>
      <c r="H18" s="514"/>
      <c r="I18" s="514"/>
      <c r="J18" s="514"/>
      <c r="K18" s="514"/>
      <c r="L18" s="517"/>
      <c r="P18" s="849" t="str">
        <f>IF(Q15&lt;=Q12,"Cumple Normalidad","No cumple Normalidad")</f>
        <v>Cumple Normalidad</v>
      </c>
      <c r="Q18" s="850"/>
      <c r="R18" s="851"/>
      <c r="U18" s="513"/>
      <c r="V18" s="523"/>
      <c r="W18" s="524"/>
      <c r="X18" s="525"/>
    </row>
    <row r="19" spans="2:29" ht="30" customHeight="1" thickBot="1" x14ac:dyDescent="0.25">
      <c r="B19" s="513"/>
      <c r="C19" s="514"/>
      <c r="D19" s="515"/>
      <c r="E19" s="515"/>
      <c r="F19" s="516"/>
      <c r="G19" s="516"/>
      <c r="H19" s="514"/>
      <c r="I19" s="514"/>
      <c r="J19" s="514"/>
      <c r="K19" s="514"/>
      <c r="L19" s="517"/>
      <c r="P19" s="852"/>
      <c r="Q19" s="853"/>
      <c r="R19" s="854"/>
      <c r="U19" s="513"/>
      <c r="V19" s="523"/>
      <c r="W19" s="524"/>
      <c r="X19" s="525"/>
    </row>
    <row r="20" spans="2:29" ht="30" customHeight="1" thickBot="1" x14ac:dyDescent="0.25">
      <c r="B20" s="513"/>
      <c r="C20" s="514"/>
      <c r="D20" s="515"/>
      <c r="E20" s="515"/>
      <c r="F20" s="516"/>
      <c r="G20" s="516"/>
      <c r="H20" s="514"/>
      <c r="I20" s="514"/>
      <c r="J20" s="514"/>
      <c r="K20" s="514"/>
      <c r="L20" s="517"/>
      <c r="U20" s="513"/>
      <c r="V20" s="523"/>
      <c r="W20" s="524"/>
      <c r="X20" s="525"/>
    </row>
    <row r="21" spans="2:29" ht="30" customHeight="1" x14ac:dyDescent="0.2">
      <c r="B21" s="513"/>
      <c r="C21" s="514"/>
      <c r="D21" s="515"/>
      <c r="E21" s="515"/>
      <c r="F21" s="516"/>
      <c r="G21" s="516"/>
      <c r="H21" s="514"/>
      <c r="I21" s="514"/>
      <c r="J21" s="514"/>
      <c r="K21" s="514"/>
      <c r="L21" s="517"/>
      <c r="N21" s="837" t="s">
        <v>202</v>
      </c>
      <c r="O21" s="840"/>
      <c r="P21" s="841"/>
      <c r="Q21" s="841"/>
      <c r="R21" s="842"/>
      <c r="U21" s="513"/>
      <c r="V21" s="523"/>
      <c r="W21" s="524"/>
      <c r="X21" s="525"/>
    </row>
    <row r="22" spans="2:29" ht="30" customHeight="1" thickBot="1" x14ac:dyDescent="0.25">
      <c r="B22" s="513"/>
      <c r="C22" s="514"/>
      <c r="D22" s="515"/>
      <c r="E22" s="515"/>
      <c r="F22" s="516"/>
      <c r="G22" s="516"/>
      <c r="H22" s="514"/>
      <c r="I22" s="514"/>
      <c r="J22" s="514"/>
      <c r="K22" s="514"/>
      <c r="L22" s="517"/>
      <c r="N22" s="838"/>
      <c r="O22" s="843"/>
      <c r="P22" s="844"/>
      <c r="Q22" s="844"/>
      <c r="R22" s="845"/>
      <c r="U22" s="518"/>
      <c r="V22" s="526"/>
      <c r="W22" s="527"/>
      <c r="X22" s="528"/>
    </row>
    <row r="23" spans="2:29" ht="30" customHeight="1" thickBot="1" x14ac:dyDescent="0.25">
      <c r="B23" s="513"/>
      <c r="C23" s="514"/>
      <c r="D23" s="515"/>
      <c r="E23" s="515"/>
      <c r="F23" s="516"/>
      <c r="G23" s="516"/>
      <c r="H23" s="514"/>
      <c r="I23" s="514"/>
      <c r="J23" s="514"/>
      <c r="K23" s="514"/>
      <c r="L23" s="517"/>
      <c r="N23" s="839" t="s">
        <v>203</v>
      </c>
      <c r="O23" s="846"/>
      <c r="P23" s="847"/>
      <c r="Q23" s="847"/>
      <c r="R23" s="848"/>
    </row>
    <row r="24" spans="2:29" ht="30" customHeight="1" thickBot="1" x14ac:dyDescent="0.25">
      <c r="B24" s="513"/>
      <c r="C24" s="514"/>
      <c r="D24" s="515"/>
      <c r="E24" s="515"/>
      <c r="F24" s="516"/>
      <c r="G24" s="516"/>
      <c r="H24" s="514"/>
      <c r="I24" s="514"/>
      <c r="J24" s="514"/>
      <c r="K24" s="514"/>
      <c r="L24" s="517"/>
      <c r="N24" s="838"/>
      <c r="O24" s="843"/>
      <c r="P24" s="844"/>
      <c r="Q24" s="844"/>
      <c r="R24" s="845"/>
      <c r="U24" s="831" t="s">
        <v>228</v>
      </c>
      <c r="V24" s="832"/>
      <c r="W24" s="832"/>
      <c r="X24" s="832"/>
      <c r="Y24" s="833"/>
    </row>
    <row r="25" spans="2:29" ht="30" customHeight="1" thickBot="1" x14ac:dyDescent="0.25">
      <c r="B25" s="513"/>
      <c r="C25" s="514"/>
      <c r="D25" s="515"/>
      <c r="E25" s="515"/>
      <c r="F25" s="516"/>
      <c r="G25" s="516"/>
      <c r="H25" s="514"/>
      <c r="I25" s="514"/>
      <c r="J25" s="514"/>
      <c r="K25" s="514"/>
      <c r="L25" s="517"/>
      <c r="U25" s="834"/>
      <c r="V25" s="835"/>
      <c r="W25" s="835"/>
      <c r="X25" s="835"/>
      <c r="Y25" s="836"/>
    </row>
    <row r="26" spans="2:29" ht="30" customHeight="1" x14ac:dyDescent="0.2">
      <c r="B26" s="513"/>
      <c r="C26" s="514"/>
      <c r="D26" s="515"/>
      <c r="E26" s="515"/>
      <c r="F26" s="516"/>
      <c r="G26" s="516"/>
      <c r="H26" s="514"/>
      <c r="I26" s="514"/>
      <c r="J26" s="514"/>
      <c r="K26" s="514"/>
      <c r="L26" s="517"/>
      <c r="U26" s="486">
        <v>0.1</v>
      </c>
      <c r="V26" s="487">
        <v>0.05</v>
      </c>
      <c r="W26" s="487">
        <v>2.5000000000000001E-2</v>
      </c>
      <c r="X26" s="488">
        <v>0.01</v>
      </c>
      <c r="Y26" s="489"/>
    </row>
    <row r="27" spans="2:29" ht="30" customHeight="1" thickBot="1" x14ac:dyDescent="0.25">
      <c r="B27" s="513"/>
      <c r="C27" s="514"/>
      <c r="D27" s="515"/>
      <c r="E27" s="515"/>
      <c r="F27" s="516"/>
      <c r="G27" s="516"/>
      <c r="H27" s="514"/>
      <c r="I27" s="514"/>
      <c r="J27" s="514"/>
      <c r="K27" s="514"/>
      <c r="L27" s="517"/>
      <c r="U27" s="481">
        <v>0.63200000000000001</v>
      </c>
      <c r="V27" s="482">
        <v>0.751</v>
      </c>
      <c r="W27" s="482">
        <v>0.87</v>
      </c>
      <c r="X27" s="483">
        <v>1.0289999999999999</v>
      </c>
      <c r="Y27" s="490"/>
    </row>
    <row r="28" spans="2:29" ht="30" customHeight="1" x14ac:dyDescent="0.2">
      <c r="B28" s="513"/>
      <c r="C28" s="514"/>
      <c r="D28" s="515"/>
      <c r="E28" s="515"/>
      <c r="F28" s="516"/>
      <c r="G28" s="516"/>
      <c r="H28" s="514"/>
      <c r="I28" s="514"/>
      <c r="J28" s="514"/>
      <c r="K28" s="514"/>
      <c r="L28" s="517"/>
      <c r="AC28" s="485"/>
    </row>
    <row r="29" spans="2:29" ht="30" customHeight="1" x14ac:dyDescent="0.2">
      <c r="B29" s="513"/>
      <c r="C29" s="514"/>
      <c r="D29" s="515"/>
      <c r="E29" s="515"/>
      <c r="F29" s="516"/>
      <c r="G29" s="516"/>
      <c r="H29" s="514"/>
      <c r="I29" s="514"/>
      <c r="J29" s="514"/>
      <c r="K29" s="514"/>
      <c r="L29" s="517"/>
      <c r="AC29" s="485"/>
    </row>
    <row r="30" spans="2:29" ht="30" customHeight="1" x14ac:dyDescent="0.2">
      <c r="B30" s="513"/>
      <c r="C30" s="514"/>
      <c r="D30" s="515"/>
      <c r="E30" s="515"/>
      <c r="F30" s="516"/>
      <c r="G30" s="516"/>
      <c r="H30" s="514"/>
      <c r="I30" s="514"/>
      <c r="J30" s="514"/>
      <c r="K30" s="514"/>
      <c r="L30" s="517"/>
      <c r="AC30" s="485"/>
    </row>
    <row r="31" spans="2:29" ht="30" customHeight="1" x14ac:dyDescent="0.2">
      <c r="B31" s="513"/>
      <c r="C31" s="514"/>
      <c r="D31" s="515"/>
      <c r="E31" s="515"/>
      <c r="F31" s="516"/>
      <c r="G31" s="516"/>
      <c r="H31" s="514"/>
      <c r="I31" s="514"/>
      <c r="J31" s="514"/>
      <c r="K31" s="514"/>
      <c r="L31" s="517"/>
      <c r="AC31" s="485"/>
    </row>
    <row r="32" spans="2:29" ht="30" customHeight="1" x14ac:dyDescent="0.2">
      <c r="B32" s="513"/>
      <c r="C32" s="514"/>
      <c r="D32" s="515"/>
      <c r="E32" s="515"/>
      <c r="F32" s="516"/>
      <c r="G32" s="516"/>
      <c r="H32" s="514"/>
      <c r="I32" s="514"/>
      <c r="J32" s="514"/>
      <c r="K32" s="514"/>
      <c r="L32" s="517"/>
      <c r="AC32" s="485"/>
    </row>
    <row r="33" spans="2:29" ht="30" customHeight="1" x14ac:dyDescent="0.2">
      <c r="B33" s="513"/>
      <c r="C33" s="514"/>
      <c r="D33" s="515"/>
      <c r="E33" s="515"/>
      <c r="F33" s="516"/>
      <c r="G33" s="516"/>
      <c r="H33" s="514"/>
      <c r="I33" s="514"/>
      <c r="J33" s="514"/>
      <c r="K33" s="514"/>
      <c r="L33" s="517"/>
      <c r="W33" s="485"/>
    </row>
    <row r="34" spans="2:29" ht="30" customHeight="1" x14ac:dyDescent="0.2">
      <c r="B34" s="513"/>
      <c r="C34" s="514"/>
      <c r="D34" s="515"/>
      <c r="E34" s="515"/>
      <c r="F34" s="516"/>
      <c r="G34" s="516"/>
      <c r="H34" s="514"/>
      <c r="I34" s="514"/>
      <c r="J34" s="514"/>
      <c r="K34" s="514"/>
      <c r="L34" s="517"/>
      <c r="W34" s="485"/>
    </row>
    <row r="35" spans="2:29" ht="30" customHeight="1" x14ac:dyDescent="0.2">
      <c r="B35" s="513"/>
      <c r="C35" s="514"/>
      <c r="D35" s="515"/>
      <c r="E35" s="515"/>
      <c r="F35" s="516"/>
      <c r="G35" s="516"/>
      <c r="H35" s="514"/>
      <c r="I35" s="514"/>
      <c r="J35" s="514"/>
      <c r="K35" s="514"/>
      <c r="L35" s="517"/>
    </row>
    <row r="36" spans="2:29" ht="30" customHeight="1" x14ac:dyDescent="0.2">
      <c r="B36" s="513"/>
      <c r="C36" s="514"/>
      <c r="D36" s="515"/>
      <c r="E36" s="515"/>
      <c r="F36" s="516"/>
      <c r="G36" s="516"/>
      <c r="H36" s="514"/>
      <c r="I36" s="514"/>
      <c r="J36" s="514"/>
      <c r="K36" s="514"/>
      <c r="L36" s="517"/>
    </row>
    <row r="37" spans="2:29" ht="30" customHeight="1" x14ac:dyDescent="0.2">
      <c r="B37" s="513"/>
      <c r="C37" s="514"/>
      <c r="D37" s="515"/>
      <c r="E37" s="515"/>
      <c r="F37" s="516"/>
      <c r="G37" s="516"/>
      <c r="H37" s="514"/>
      <c r="I37" s="514"/>
      <c r="J37" s="514"/>
      <c r="K37" s="514"/>
      <c r="L37" s="517"/>
    </row>
    <row r="38" spans="2:29" ht="30" customHeight="1" x14ac:dyDescent="0.2">
      <c r="B38" s="513"/>
      <c r="C38" s="514"/>
      <c r="D38" s="515"/>
      <c r="E38" s="515"/>
      <c r="F38" s="516"/>
      <c r="G38" s="516"/>
      <c r="H38" s="514"/>
      <c r="I38" s="514"/>
      <c r="J38" s="514"/>
      <c r="K38" s="514"/>
      <c r="L38" s="517"/>
    </row>
    <row r="39" spans="2:29" ht="30" customHeight="1" x14ac:dyDescent="0.2">
      <c r="B39" s="513"/>
      <c r="C39" s="514"/>
      <c r="D39" s="515"/>
      <c r="E39" s="515"/>
      <c r="F39" s="516"/>
      <c r="G39" s="516"/>
      <c r="H39" s="514"/>
      <c r="I39" s="514"/>
      <c r="J39" s="514"/>
      <c r="K39" s="514"/>
      <c r="L39" s="517"/>
    </row>
    <row r="40" spans="2:29" ht="30" customHeight="1" x14ac:dyDescent="0.2">
      <c r="B40" s="513"/>
      <c r="C40" s="514"/>
      <c r="D40" s="515"/>
      <c r="E40" s="515"/>
      <c r="F40" s="516"/>
      <c r="G40" s="516"/>
      <c r="H40" s="514"/>
      <c r="I40" s="514"/>
      <c r="J40" s="514"/>
      <c r="K40" s="514"/>
      <c r="L40" s="517"/>
    </row>
    <row r="41" spans="2:29" ht="30" customHeight="1" x14ac:dyDescent="0.2">
      <c r="B41" s="513"/>
      <c r="C41" s="514"/>
      <c r="D41" s="515"/>
      <c r="E41" s="515"/>
      <c r="F41" s="516"/>
      <c r="G41" s="516"/>
      <c r="H41" s="514"/>
      <c r="I41" s="514"/>
      <c r="J41" s="514"/>
      <c r="K41" s="514"/>
      <c r="L41" s="517"/>
      <c r="W41" s="485"/>
    </row>
    <row r="42" spans="2:29" ht="30" customHeight="1" x14ac:dyDescent="0.2">
      <c r="B42" s="513"/>
      <c r="C42" s="514"/>
      <c r="D42" s="515"/>
      <c r="E42" s="515"/>
      <c r="F42" s="516"/>
      <c r="G42" s="516"/>
      <c r="H42" s="514"/>
      <c r="I42" s="514"/>
      <c r="J42" s="514"/>
      <c r="K42" s="514"/>
      <c r="L42" s="517"/>
      <c r="W42" s="485"/>
      <c r="AC42" s="485"/>
    </row>
    <row r="43" spans="2:29" ht="30" customHeight="1" x14ac:dyDescent="0.2">
      <c r="B43" s="513"/>
      <c r="C43" s="514"/>
      <c r="D43" s="515"/>
      <c r="E43" s="515"/>
      <c r="F43" s="516"/>
      <c r="G43" s="516"/>
      <c r="H43" s="514"/>
      <c r="I43" s="514"/>
      <c r="J43" s="514"/>
      <c r="K43" s="514"/>
      <c r="L43" s="517"/>
      <c r="W43" s="485"/>
    </row>
    <row r="44" spans="2:29" ht="30" customHeight="1" x14ac:dyDescent="0.2">
      <c r="B44" s="513"/>
      <c r="C44" s="514"/>
      <c r="D44" s="515"/>
      <c r="E44" s="515"/>
      <c r="F44" s="516"/>
      <c r="G44" s="516"/>
      <c r="H44" s="514"/>
      <c r="I44" s="514"/>
      <c r="J44" s="514"/>
      <c r="K44" s="514"/>
      <c r="L44" s="517"/>
    </row>
    <row r="45" spans="2:29" ht="30" customHeight="1" x14ac:dyDescent="0.2">
      <c r="B45" s="513"/>
      <c r="C45" s="514"/>
      <c r="D45" s="515"/>
      <c r="E45" s="515"/>
      <c r="F45" s="516"/>
      <c r="G45" s="516"/>
      <c r="H45" s="514"/>
      <c r="I45" s="514"/>
      <c r="J45" s="514"/>
      <c r="K45" s="514"/>
      <c r="L45" s="517"/>
      <c r="AC45" s="485"/>
    </row>
    <row r="46" spans="2:29" ht="30" customHeight="1" x14ac:dyDescent="0.2">
      <c r="B46" s="513"/>
      <c r="C46" s="514"/>
      <c r="D46" s="515"/>
      <c r="E46" s="515"/>
      <c r="F46" s="516"/>
      <c r="G46" s="516"/>
      <c r="H46" s="514"/>
      <c r="I46" s="514"/>
      <c r="J46" s="514"/>
      <c r="K46" s="514"/>
      <c r="L46" s="517"/>
      <c r="W46" s="485"/>
    </row>
    <row r="47" spans="2:29" ht="30" customHeight="1" x14ac:dyDescent="0.2">
      <c r="B47" s="513"/>
      <c r="C47" s="514"/>
      <c r="D47" s="515"/>
      <c r="E47" s="515"/>
      <c r="F47" s="516"/>
      <c r="G47" s="516"/>
      <c r="H47" s="514"/>
      <c r="I47" s="514"/>
      <c r="J47" s="514"/>
      <c r="K47" s="514"/>
      <c r="L47" s="517"/>
    </row>
    <row r="48" spans="2:29" ht="30" customHeight="1" x14ac:dyDescent="0.2">
      <c r="B48" s="513"/>
      <c r="C48" s="514"/>
      <c r="D48" s="515"/>
      <c r="E48" s="515"/>
      <c r="F48" s="516"/>
      <c r="G48" s="516"/>
      <c r="H48" s="514"/>
      <c r="I48" s="514"/>
      <c r="J48" s="514"/>
      <c r="K48" s="514"/>
      <c r="L48" s="517"/>
      <c r="W48" s="485"/>
    </row>
    <row r="49" spans="2:23" ht="30" customHeight="1" x14ac:dyDescent="0.2">
      <c r="B49" s="513"/>
      <c r="C49" s="514"/>
      <c r="D49" s="515"/>
      <c r="E49" s="515"/>
      <c r="F49" s="516"/>
      <c r="G49" s="516"/>
      <c r="H49" s="514"/>
      <c r="I49" s="514"/>
      <c r="J49" s="514"/>
      <c r="K49" s="514"/>
      <c r="L49" s="517"/>
      <c r="W49" s="485"/>
    </row>
    <row r="50" spans="2:23" ht="30" customHeight="1" x14ac:dyDescent="0.2">
      <c r="B50" s="513"/>
      <c r="C50" s="514"/>
      <c r="D50" s="515"/>
      <c r="E50" s="515"/>
      <c r="F50" s="516"/>
      <c r="G50" s="516"/>
      <c r="H50" s="514"/>
      <c r="I50" s="514"/>
      <c r="J50" s="514"/>
      <c r="K50" s="514"/>
      <c r="L50" s="517"/>
    </row>
    <row r="51" spans="2:23" ht="30" customHeight="1" x14ac:dyDescent="0.2">
      <c r="B51" s="513"/>
      <c r="C51" s="514"/>
      <c r="D51" s="515"/>
      <c r="E51" s="515"/>
      <c r="F51" s="516"/>
      <c r="G51" s="516"/>
      <c r="H51" s="514"/>
      <c r="I51" s="514"/>
      <c r="J51" s="514"/>
      <c r="K51" s="514"/>
      <c r="L51" s="517"/>
    </row>
    <row r="52" spans="2:23" ht="30" customHeight="1" thickBot="1" x14ac:dyDescent="0.25">
      <c r="B52" s="518"/>
      <c r="C52" s="519"/>
      <c r="D52" s="520"/>
      <c r="E52" s="520"/>
      <c r="F52" s="521"/>
      <c r="G52" s="521"/>
      <c r="H52" s="519"/>
      <c r="I52" s="519"/>
      <c r="J52" s="519"/>
      <c r="K52" s="519"/>
      <c r="L52" s="522"/>
    </row>
    <row r="61" spans="2:23" ht="43.5" customHeight="1" x14ac:dyDescent="0.2"/>
  </sheetData>
  <sheetProtection password="CF5C" sheet="1" objects="1" scenarios="1"/>
  <mergeCells count="9">
    <mergeCell ref="A1:F3"/>
    <mergeCell ref="G1:Z3"/>
    <mergeCell ref="U24:Y25"/>
    <mergeCell ref="U6:X6"/>
    <mergeCell ref="N21:N22"/>
    <mergeCell ref="N23:N24"/>
    <mergeCell ref="O21:R22"/>
    <mergeCell ref="O23:R24"/>
    <mergeCell ref="P18:R19"/>
  </mergeCells>
  <pageMargins left="0.70866141732283472" right="0.70866141732283472" top="0.74803149606299213" bottom="0.74803149606299213" header="0.31496062992125984" footer="0.31496062992125984"/>
  <pageSetup scale="18" orientation="portrait" r:id="rId1"/>
  <headerFooter>
    <oddFooter>&amp;RRT03-F25 Vr. 5 (2021-05-24)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showGridLines="0" topLeftCell="B1" workbookViewId="0">
      <selection activeCell="T27" sqref="T27"/>
    </sheetView>
  </sheetViews>
  <sheetFormatPr baseColWidth="10"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3:B15"/>
  <sheetViews>
    <sheetView showGridLines="0" workbookViewId="0">
      <selection activeCell="B4" sqref="B4"/>
    </sheetView>
  </sheetViews>
  <sheetFormatPr baseColWidth="10" defaultRowHeight="15" x14ac:dyDescent="0.25"/>
  <cols>
    <col min="2" max="2" width="33.5703125" bestFit="1" customWidth="1"/>
  </cols>
  <sheetData>
    <row r="3" spans="2:2" ht="15.75" thickBot="1" x14ac:dyDescent="0.3">
      <c r="B3" s="289"/>
    </row>
    <row r="4" spans="2:2" ht="15.75" thickBot="1" x14ac:dyDescent="0.3">
      <c r="B4" s="290" t="s">
        <v>175</v>
      </c>
    </row>
    <row r="5" spans="2:2" ht="15.75" thickBot="1" x14ac:dyDescent="0.3">
      <c r="B5" s="290" t="s">
        <v>176</v>
      </c>
    </row>
    <row r="6" spans="2:2" ht="15.75" thickBot="1" x14ac:dyDescent="0.3">
      <c r="B6" s="290" t="s">
        <v>177</v>
      </c>
    </row>
    <row r="7" spans="2:2" ht="15.75" thickBot="1" x14ac:dyDescent="0.3">
      <c r="B7" s="290" t="s">
        <v>178</v>
      </c>
    </row>
    <row r="8" spans="2:2" ht="15.75" thickBot="1" x14ac:dyDescent="0.3">
      <c r="B8" s="290" t="s">
        <v>179</v>
      </c>
    </row>
    <row r="9" spans="2:2" ht="15.75" thickBot="1" x14ac:dyDescent="0.3">
      <c r="B9" s="290" t="s">
        <v>180</v>
      </c>
    </row>
    <row r="10" spans="2:2" ht="15.75" thickBot="1" x14ac:dyDescent="0.3">
      <c r="B10" s="290" t="s">
        <v>181</v>
      </c>
    </row>
    <row r="11" spans="2:2" ht="15.75" thickBot="1" x14ac:dyDescent="0.3">
      <c r="B11" s="290" t="s">
        <v>182</v>
      </c>
    </row>
    <row r="12" spans="2:2" ht="15.75" thickBot="1" x14ac:dyDescent="0.3">
      <c r="B12" s="290" t="s">
        <v>183</v>
      </c>
    </row>
    <row r="13" spans="2:2" ht="15.75" thickBot="1" x14ac:dyDescent="0.3">
      <c r="B13" s="290" t="s">
        <v>184</v>
      </c>
    </row>
    <row r="14" spans="2:2" x14ac:dyDescent="0.25">
      <c r="B14" s="291"/>
    </row>
    <row r="15" spans="2:2" x14ac:dyDescent="0.25">
      <c r="B15" s="289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F231"/>
  <sheetViews>
    <sheetView showGridLines="0" zoomScale="90" zoomScaleNormal="90" workbookViewId="0">
      <selection activeCell="A195" sqref="A195"/>
    </sheetView>
  </sheetViews>
  <sheetFormatPr baseColWidth="10" defaultRowHeight="15" x14ac:dyDescent="0.25"/>
  <cols>
    <col min="1" max="1" width="12.5703125" bestFit="1" customWidth="1"/>
    <col min="2" max="2" width="13" bestFit="1" customWidth="1"/>
    <col min="14" max="16" width="14" customWidth="1"/>
    <col min="17" max="23" width="11.42578125" customWidth="1"/>
  </cols>
  <sheetData>
    <row r="1" spans="1:32" x14ac:dyDescent="0.25">
      <c r="A1" t="s">
        <v>83</v>
      </c>
      <c r="C1" s="12">
        <v>6</v>
      </c>
      <c r="D1" t="s">
        <v>8</v>
      </c>
      <c r="E1" s="13" t="s">
        <v>8</v>
      </c>
      <c r="F1" s="14"/>
      <c r="G1" s="14"/>
      <c r="H1" s="14"/>
      <c r="I1" s="14"/>
      <c r="J1" s="14"/>
      <c r="W1" s="14"/>
      <c r="X1" s="14"/>
      <c r="Y1" s="14"/>
      <c r="Z1" s="14"/>
      <c r="AA1" s="14"/>
    </row>
    <row r="2" spans="1:32" x14ac:dyDescent="0.25">
      <c r="A2" t="s">
        <v>84</v>
      </c>
      <c r="C2" s="12">
        <v>5</v>
      </c>
      <c r="D2" t="s">
        <v>9</v>
      </c>
      <c r="E2" s="13" t="s">
        <v>9</v>
      </c>
      <c r="F2" s="14"/>
      <c r="G2" s="14"/>
      <c r="H2" s="14"/>
      <c r="I2" s="14"/>
      <c r="J2" s="14"/>
      <c r="W2" s="14"/>
      <c r="X2" s="14"/>
      <c r="Y2" s="14"/>
      <c r="Z2" s="14"/>
      <c r="AA2" s="14"/>
    </row>
    <row r="3" spans="1:32" x14ac:dyDescent="0.25">
      <c r="A3" t="s">
        <v>61</v>
      </c>
      <c r="C3" s="12">
        <v>5</v>
      </c>
      <c r="D3" t="s">
        <v>10</v>
      </c>
      <c r="E3" s="13" t="s">
        <v>10</v>
      </c>
      <c r="F3" s="14"/>
      <c r="G3" s="14"/>
      <c r="H3" s="14"/>
      <c r="I3" s="14"/>
      <c r="J3" s="14"/>
      <c r="W3" s="14"/>
      <c r="X3" s="14"/>
      <c r="Y3" s="14"/>
      <c r="Z3" s="14"/>
      <c r="AA3" s="14"/>
    </row>
    <row r="4" spans="1:32" x14ac:dyDescent="0.25">
      <c r="D4" t="s">
        <v>64</v>
      </c>
      <c r="E4" s="150" t="s">
        <v>64</v>
      </c>
      <c r="F4" s="14"/>
      <c r="G4" s="14"/>
      <c r="H4" s="14"/>
      <c r="I4" s="14"/>
      <c r="J4" s="14"/>
      <c r="W4" s="14"/>
      <c r="X4" s="14"/>
      <c r="Y4" s="14"/>
      <c r="Z4" s="14"/>
      <c r="AA4" s="14"/>
    </row>
    <row r="5" spans="1:32" x14ac:dyDescent="0.25">
      <c r="D5" s="10"/>
      <c r="E5" s="140"/>
      <c r="F5" s="14"/>
      <c r="G5" s="14"/>
      <c r="H5" s="14"/>
      <c r="I5" s="14"/>
      <c r="J5" s="14"/>
      <c r="W5" s="14"/>
      <c r="X5" s="14"/>
      <c r="Y5" s="14"/>
      <c r="Z5" s="14"/>
      <c r="AA5" s="14"/>
    </row>
    <row r="6" spans="1:32" x14ac:dyDescent="0.25">
      <c r="F6" s="15"/>
      <c r="G6" s="15"/>
      <c r="H6" s="15"/>
      <c r="I6" s="15"/>
      <c r="J6" s="15"/>
      <c r="W6" s="14"/>
      <c r="X6" s="14"/>
      <c r="Y6" s="14"/>
      <c r="Z6" s="14"/>
      <c r="AA6" s="14"/>
    </row>
    <row r="7" spans="1:32" x14ac:dyDescent="0.25">
      <c r="A7" s="855" t="s">
        <v>86</v>
      </c>
      <c r="B7" s="142" t="s">
        <v>87</v>
      </c>
      <c r="C7" s="143"/>
      <c r="D7" s="143"/>
      <c r="E7" s="143"/>
      <c r="F7" s="143"/>
      <c r="G7" s="143"/>
      <c r="H7" s="143"/>
      <c r="I7" s="143"/>
      <c r="J7" s="143"/>
      <c r="K7" s="143"/>
      <c r="L7" s="143"/>
      <c r="M7" s="143"/>
      <c r="N7" s="143"/>
      <c r="O7" s="143"/>
      <c r="P7" s="143"/>
      <c r="Q7" s="143"/>
      <c r="R7" s="143"/>
      <c r="S7" s="143"/>
      <c r="T7" s="143"/>
      <c r="U7" s="143"/>
      <c r="V7" s="143"/>
      <c r="W7" s="143"/>
      <c r="X7" s="143"/>
      <c r="Y7" s="143"/>
      <c r="Z7" s="143"/>
    </row>
    <row r="8" spans="1:32" x14ac:dyDescent="0.25">
      <c r="A8" s="856"/>
      <c r="B8" s="72">
        <v>1</v>
      </c>
      <c r="C8" s="73"/>
      <c r="D8" s="73"/>
      <c r="E8" s="73"/>
      <c r="F8" s="74"/>
      <c r="G8" s="72">
        <v>2</v>
      </c>
      <c r="H8" s="73"/>
      <c r="I8" s="73"/>
      <c r="J8" s="73"/>
      <c r="K8" s="74"/>
      <c r="L8" s="72">
        <v>3</v>
      </c>
      <c r="M8" s="73"/>
      <c r="N8" s="73"/>
      <c r="O8" s="73"/>
      <c r="P8" s="74"/>
      <c r="Q8" s="72">
        <v>4</v>
      </c>
      <c r="R8" s="73"/>
      <c r="S8" s="73"/>
      <c r="T8" s="73"/>
      <c r="U8" s="74"/>
      <c r="V8" s="72">
        <v>5</v>
      </c>
      <c r="W8" s="73"/>
      <c r="X8" s="73"/>
      <c r="Y8" s="73"/>
      <c r="Z8" s="74"/>
    </row>
    <row r="9" spans="1:32" x14ac:dyDescent="0.25">
      <c r="A9" s="13" t="s">
        <v>8</v>
      </c>
      <c r="B9" s="5">
        <v>25.8</v>
      </c>
      <c r="C9" s="5">
        <v>26.2</v>
      </c>
      <c r="D9" s="5">
        <v>25.9</v>
      </c>
      <c r="E9" s="5">
        <v>26.3</v>
      </c>
      <c r="F9" s="5">
        <v>25.5</v>
      </c>
      <c r="G9" s="5">
        <v>70.2</v>
      </c>
      <c r="H9" s="5">
        <v>69.900000000000006</v>
      </c>
      <c r="I9" s="5">
        <v>69.8</v>
      </c>
      <c r="J9" s="5">
        <v>69.599999999999994</v>
      </c>
      <c r="K9" s="5">
        <v>69.8</v>
      </c>
      <c r="L9" s="5">
        <v>256</v>
      </c>
      <c r="M9" s="5">
        <v>256</v>
      </c>
      <c r="N9" s="5">
        <v>255</v>
      </c>
      <c r="O9" s="5">
        <v>256</v>
      </c>
      <c r="P9" s="5">
        <v>256</v>
      </c>
      <c r="Q9" s="5">
        <v>544</v>
      </c>
      <c r="R9" s="5">
        <v>543</v>
      </c>
      <c r="S9" s="5">
        <v>543</v>
      </c>
      <c r="T9" s="5">
        <v>543</v>
      </c>
      <c r="U9" s="5">
        <v>544</v>
      </c>
      <c r="V9" s="5">
        <v>1254</v>
      </c>
      <c r="W9" s="5">
        <v>1255</v>
      </c>
      <c r="X9" s="5">
        <v>1253</v>
      </c>
      <c r="Y9" s="5">
        <v>1249</v>
      </c>
      <c r="Z9" s="5">
        <v>1254</v>
      </c>
    </row>
    <row r="10" spans="1:32" x14ac:dyDescent="0.25">
      <c r="A10" s="13" t="s">
        <v>10</v>
      </c>
      <c r="B10" s="5">
        <v>26.5</v>
      </c>
      <c r="C10" s="5">
        <v>26.9</v>
      </c>
      <c r="D10" s="5">
        <v>26</v>
      </c>
      <c r="E10" s="5">
        <v>26.2</v>
      </c>
      <c r="F10" s="5">
        <v>26.7</v>
      </c>
      <c r="G10" s="5">
        <v>69.7</v>
      </c>
      <c r="H10" s="5">
        <v>69.5</v>
      </c>
      <c r="I10" s="5">
        <v>69.8</v>
      </c>
      <c r="J10" s="5">
        <v>69.8</v>
      </c>
      <c r="K10" s="5">
        <v>69.8</v>
      </c>
      <c r="L10" s="5">
        <v>255</v>
      </c>
      <c r="M10" s="5">
        <v>255</v>
      </c>
      <c r="N10" s="5">
        <v>256</v>
      </c>
      <c r="O10" s="5">
        <v>256</v>
      </c>
      <c r="P10" s="5">
        <v>256</v>
      </c>
      <c r="Q10" s="5">
        <v>544</v>
      </c>
      <c r="R10" s="5">
        <v>544</v>
      </c>
      <c r="S10" s="5">
        <v>544</v>
      </c>
      <c r="T10" s="5">
        <v>545</v>
      </c>
      <c r="U10" s="5">
        <v>544</v>
      </c>
      <c r="V10" s="5">
        <v>1254</v>
      </c>
      <c r="W10" s="5">
        <v>1253</v>
      </c>
      <c r="X10" s="5">
        <v>1254</v>
      </c>
      <c r="Y10" s="5">
        <v>1250</v>
      </c>
      <c r="Z10" s="5">
        <v>1254</v>
      </c>
    </row>
    <row r="11" spans="1:32" x14ac:dyDescent="0.25">
      <c r="A11" s="13" t="s">
        <v>64</v>
      </c>
      <c r="B11" s="5">
        <v>25.8</v>
      </c>
      <c r="C11" s="5">
        <v>27.1</v>
      </c>
      <c r="D11" s="5">
        <v>26.5</v>
      </c>
      <c r="E11" s="5">
        <v>26.1</v>
      </c>
      <c r="F11" s="5">
        <v>26.5</v>
      </c>
      <c r="G11" s="5">
        <v>69.599999999999994</v>
      </c>
      <c r="H11" s="5">
        <v>69.400000000000006</v>
      </c>
      <c r="I11" s="5">
        <v>69.5</v>
      </c>
      <c r="J11" s="5">
        <v>69.7</v>
      </c>
      <c r="K11" s="5">
        <v>69.400000000000006</v>
      </c>
      <c r="L11" s="5">
        <v>256</v>
      </c>
      <c r="M11" s="5">
        <v>255</v>
      </c>
      <c r="N11" s="5">
        <v>255</v>
      </c>
      <c r="O11" s="5">
        <v>255</v>
      </c>
      <c r="P11" s="5">
        <v>256</v>
      </c>
      <c r="Q11" s="5">
        <v>544</v>
      </c>
      <c r="R11" s="5">
        <v>544</v>
      </c>
      <c r="S11" s="5">
        <v>543</v>
      </c>
      <c r="T11" s="5">
        <v>544</v>
      </c>
      <c r="U11" s="5">
        <v>544</v>
      </c>
      <c r="V11" s="5">
        <v>1251</v>
      </c>
      <c r="W11" s="5">
        <v>1253</v>
      </c>
      <c r="X11" s="5">
        <v>1251</v>
      </c>
      <c r="Y11" s="5">
        <v>1252</v>
      </c>
      <c r="Z11" s="5">
        <v>1251</v>
      </c>
    </row>
    <row r="12" spans="1:32" x14ac:dyDescent="0.25">
      <c r="A12" s="13" t="s">
        <v>85</v>
      </c>
      <c r="B12" s="5">
        <v>26.4</v>
      </c>
      <c r="C12" s="5">
        <v>25.9</v>
      </c>
      <c r="D12" s="5">
        <v>25.8</v>
      </c>
      <c r="E12" s="5">
        <v>26.5</v>
      </c>
      <c r="F12" s="5">
        <v>25.7</v>
      </c>
      <c r="G12" s="5">
        <v>69.599999999999994</v>
      </c>
      <c r="H12" s="5">
        <v>69.5</v>
      </c>
      <c r="I12" s="5">
        <v>68.7</v>
      </c>
      <c r="J12" s="5">
        <v>69.900000000000006</v>
      </c>
      <c r="K12" s="5">
        <v>69.8</v>
      </c>
      <c r="L12" s="5">
        <v>256</v>
      </c>
      <c r="M12" s="5">
        <v>255</v>
      </c>
      <c r="N12" s="5">
        <v>257</v>
      </c>
      <c r="O12" s="5">
        <v>257</v>
      </c>
      <c r="P12" s="5">
        <v>256</v>
      </c>
      <c r="Q12" s="5">
        <v>545</v>
      </c>
      <c r="R12" s="5">
        <v>542</v>
      </c>
      <c r="S12" s="5">
        <v>543</v>
      </c>
      <c r="T12" s="5">
        <v>544</v>
      </c>
      <c r="U12" s="5">
        <v>545</v>
      </c>
      <c r="V12" s="5">
        <v>1251</v>
      </c>
      <c r="W12" s="5">
        <v>1255</v>
      </c>
      <c r="X12" s="5">
        <v>1251</v>
      </c>
      <c r="Y12" s="5">
        <v>1255</v>
      </c>
      <c r="Z12" s="5">
        <v>1254</v>
      </c>
    </row>
    <row r="13" spans="1:32" x14ac:dyDescent="0.25">
      <c r="A13" s="140"/>
      <c r="B13" s="102"/>
      <c r="C13" s="102"/>
      <c r="D13" s="102"/>
      <c r="E13" s="102"/>
      <c r="F13" s="102"/>
      <c r="G13" s="102"/>
      <c r="H13" s="102"/>
      <c r="I13" s="102"/>
      <c r="J13" s="102"/>
      <c r="K13" s="141"/>
      <c r="L13" s="141"/>
      <c r="M13" s="141"/>
      <c r="N13" s="102"/>
      <c r="O13" s="102"/>
      <c r="P13" s="102"/>
      <c r="Q13" s="102"/>
      <c r="R13" s="102"/>
      <c r="S13" s="102"/>
      <c r="T13" s="102"/>
      <c r="U13" s="102"/>
      <c r="V13" s="102"/>
      <c r="W13" s="102"/>
      <c r="X13" s="102"/>
      <c r="Y13" s="102"/>
      <c r="Z13" s="102"/>
      <c r="AA13" s="102"/>
      <c r="AB13" s="102"/>
      <c r="AC13" s="102"/>
      <c r="AD13" s="102"/>
      <c r="AE13" s="102"/>
      <c r="AF13" s="102"/>
    </row>
    <row r="14" spans="1:32" x14ac:dyDescent="0.25">
      <c r="A14" s="140"/>
      <c r="B14" s="102"/>
      <c r="C14" s="102"/>
      <c r="D14" s="102"/>
      <c r="E14" s="102"/>
      <c r="F14" s="102"/>
      <c r="G14" s="102"/>
      <c r="H14" s="102"/>
      <c r="I14" s="102"/>
      <c r="J14" s="102"/>
      <c r="K14" s="141"/>
      <c r="L14" s="141"/>
      <c r="M14" s="141"/>
      <c r="N14" s="102"/>
      <c r="O14" s="102"/>
      <c r="P14" s="102"/>
      <c r="Q14" s="102"/>
      <c r="R14" s="102"/>
      <c r="S14" s="102"/>
      <c r="T14" s="102"/>
      <c r="U14" s="102"/>
      <c r="V14" s="102"/>
      <c r="W14" s="102"/>
      <c r="X14" s="102"/>
      <c r="Y14" s="102"/>
      <c r="Z14" s="102"/>
      <c r="AA14" s="102"/>
      <c r="AB14" s="102"/>
      <c r="AC14" s="102"/>
      <c r="AD14" s="102"/>
      <c r="AE14" s="102"/>
      <c r="AF14" s="102"/>
    </row>
    <row r="15" spans="1:32" x14ac:dyDescent="0.25">
      <c r="A15" s="140"/>
      <c r="B15" s="102"/>
      <c r="C15" s="102"/>
      <c r="D15" s="102"/>
      <c r="E15" s="102"/>
      <c r="F15" s="102"/>
      <c r="G15" s="102"/>
      <c r="H15" s="102"/>
      <c r="I15" s="102"/>
      <c r="J15" s="102"/>
      <c r="K15" s="141"/>
      <c r="L15" s="141"/>
      <c r="M15" s="141"/>
      <c r="N15" s="102"/>
      <c r="O15" s="102"/>
      <c r="P15" s="102"/>
      <c r="Q15" s="102"/>
      <c r="R15" s="102"/>
      <c r="S15" s="102"/>
      <c r="T15" s="102"/>
      <c r="U15" s="102"/>
      <c r="V15" s="102"/>
      <c r="W15" s="102"/>
      <c r="X15" s="102"/>
      <c r="Y15" s="102"/>
      <c r="Z15" s="102"/>
      <c r="AA15" s="102"/>
      <c r="AB15" s="102"/>
      <c r="AC15" s="102"/>
      <c r="AD15" s="102"/>
      <c r="AE15" s="102"/>
      <c r="AF15" s="102"/>
    </row>
    <row r="16" spans="1:32" x14ac:dyDescent="0.25">
      <c r="A16" s="140"/>
      <c r="B16" s="102"/>
      <c r="C16" s="102"/>
      <c r="D16" s="102"/>
      <c r="E16" s="102"/>
      <c r="F16" s="102"/>
      <c r="G16" s="102"/>
      <c r="H16" s="102"/>
      <c r="I16" s="102"/>
      <c r="J16" s="102"/>
      <c r="K16" s="141"/>
      <c r="L16" s="141"/>
      <c r="M16" s="141"/>
      <c r="N16" s="102"/>
      <c r="O16" s="102"/>
      <c r="P16" s="102"/>
      <c r="Q16" s="102"/>
      <c r="R16" s="102"/>
      <c r="S16" s="102"/>
      <c r="T16" s="102"/>
      <c r="U16" s="102"/>
      <c r="V16" s="102"/>
      <c r="W16" s="102"/>
      <c r="X16" s="102"/>
      <c r="Y16" s="102"/>
      <c r="Z16" s="102"/>
      <c r="AA16" s="102"/>
      <c r="AB16" s="102"/>
      <c r="AC16" s="102"/>
      <c r="AD16" s="102"/>
      <c r="AE16" s="102"/>
      <c r="AF16" s="102"/>
    </row>
    <row r="17" spans="1:32" x14ac:dyDescent="0.25">
      <c r="A17" s="140"/>
      <c r="B17" s="102"/>
      <c r="C17" s="102"/>
      <c r="D17" s="102"/>
      <c r="E17" s="102"/>
      <c r="F17" s="102"/>
      <c r="G17" s="102"/>
      <c r="H17" s="102"/>
      <c r="I17" s="102"/>
      <c r="J17" s="102"/>
      <c r="K17" s="141"/>
      <c r="L17" s="141"/>
      <c r="M17" s="141"/>
      <c r="N17" s="102"/>
      <c r="O17" s="102"/>
      <c r="P17" s="102"/>
      <c r="Q17" s="102"/>
      <c r="R17" s="102"/>
      <c r="S17" s="102"/>
      <c r="T17" s="102"/>
      <c r="U17" s="102"/>
      <c r="V17" s="102"/>
      <c r="W17" s="102"/>
      <c r="X17" s="102"/>
      <c r="Y17" s="102"/>
      <c r="Z17" s="102"/>
      <c r="AA17" s="102"/>
      <c r="AB17" s="102"/>
      <c r="AC17" s="102"/>
      <c r="AD17" s="102"/>
      <c r="AE17" s="102"/>
      <c r="AF17" s="102"/>
    </row>
    <row r="18" spans="1:32" x14ac:dyDescent="0.25">
      <c r="A18" s="140"/>
      <c r="B18" s="102"/>
      <c r="C18" s="102"/>
      <c r="D18" s="102"/>
      <c r="E18" s="102"/>
      <c r="F18" s="102"/>
      <c r="G18" s="102"/>
      <c r="H18" s="102"/>
      <c r="I18" s="102"/>
      <c r="J18" s="102"/>
      <c r="K18" s="141"/>
      <c r="L18" s="141"/>
      <c r="M18" s="141"/>
      <c r="N18" s="102"/>
      <c r="O18" s="102"/>
      <c r="P18" s="102"/>
      <c r="Q18" s="102"/>
      <c r="R18" s="102"/>
      <c r="S18" s="102"/>
      <c r="T18" s="102"/>
      <c r="U18" s="102"/>
      <c r="V18" s="102"/>
      <c r="W18" s="102"/>
      <c r="X18" s="102"/>
      <c r="Y18" s="102"/>
      <c r="Z18" s="102"/>
      <c r="AA18" s="102"/>
      <c r="AB18" s="102"/>
      <c r="AC18" s="102"/>
      <c r="AD18" s="102"/>
      <c r="AE18" s="102"/>
      <c r="AF18" s="102"/>
    </row>
    <row r="20" spans="1:32" x14ac:dyDescent="0.25">
      <c r="A20" s="855" t="str">
        <f>+A7</f>
        <v>Metrologo</v>
      </c>
      <c r="B20" s="859" t="s">
        <v>88</v>
      </c>
      <c r="C20" s="860"/>
      <c r="D20" s="860"/>
      <c r="E20" s="860"/>
      <c r="F20" s="860"/>
      <c r="G20" s="16"/>
      <c r="H20" s="17"/>
      <c r="I20" s="17"/>
      <c r="J20" s="9"/>
      <c r="K20" s="11"/>
      <c r="L20" s="11"/>
    </row>
    <row r="21" spans="1:32" x14ac:dyDescent="0.25">
      <c r="A21" s="856"/>
      <c r="B21" s="18">
        <v>1</v>
      </c>
      <c r="C21" s="18">
        <v>2</v>
      </c>
      <c r="D21" s="18">
        <v>3</v>
      </c>
      <c r="E21" s="18">
        <v>4</v>
      </c>
      <c r="F21" s="18">
        <v>5</v>
      </c>
      <c r="G21" s="19"/>
      <c r="H21" s="20"/>
      <c r="I21" s="21"/>
      <c r="J21" s="22"/>
      <c r="K21" s="23"/>
      <c r="L21" s="23"/>
      <c r="M21" s="23"/>
      <c r="N21" s="23"/>
      <c r="O21" s="23"/>
      <c r="P21" s="23"/>
      <c r="Q21" s="23"/>
      <c r="R21" s="23"/>
    </row>
    <row r="22" spans="1:32" x14ac:dyDescent="0.25">
      <c r="A22" s="13" t="str">
        <f>+A9</f>
        <v>M1</v>
      </c>
      <c r="B22" s="24">
        <f>AVERAGE(B9:F9)</f>
        <v>25.939999999999998</v>
      </c>
      <c r="C22" s="24">
        <f>AVERAGE(G9:K9)</f>
        <v>69.86</v>
      </c>
      <c r="D22" s="24">
        <f>AVERAGE(L9:P9)</f>
        <v>255.8</v>
      </c>
      <c r="E22" s="24">
        <f>AVERAGE(Q9:U9)</f>
        <v>543.4</v>
      </c>
      <c r="F22" s="24">
        <f>AVERAGE(V9:Z9)</f>
        <v>1253</v>
      </c>
      <c r="G22" s="11"/>
      <c r="H22" s="11"/>
    </row>
    <row r="23" spans="1:32" x14ac:dyDescent="0.25">
      <c r="A23" s="13" t="str">
        <f>+A10</f>
        <v>M3</v>
      </c>
      <c r="B23" s="24">
        <f>AVERAGE(B10:F10)</f>
        <v>26.46</v>
      </c>
      <c r="C23" s="24">
        <f>AVERAGE(G10:K10)</f>
        <v>69.72</v>
      </c>
      <c r="D23" s="24">
        <f>AVERAGE(L10:P10)</f>
        <v>255.6</v>
      </c>
      <c r="E23" s="24">
        <f>AVERAGE(Q10:U10)</f>
        <v>544.20000000000005</v>
      </c>
      <c r="F23" s="24">
        <f>AVERAGE(V10:Z10)</f>
        <v>1253</v>
      </c>
      <c r="G23" s="11"/>
      <c r="H23" s="11"/>
    </row>
    <row r="24" spans="1:32" x14ac:dyDescent="0.25">
      <c r="A24" s="13" t="str">
        <f>+A11</f>
        <v>M4</v>
      </c>
      <c r="B24" s="24">
        <f>AVERAGE(B11:F11)</f>
        <v>26.4</v>
      </c>
      <c r="C24" s="24">
        <f>AVERAGE(G11:K11)</f>
        <v>69.52000000000001</v>
      </c>
      <c r="D24" s="24">
        <f>AVERAGE(L11:P11)</f>
        <v>255.4</v>
      </c>
      <c r="E24" s="24">
        <f>AVERAGE(Q11:U11)</f>
        <v>543.79999999999995</v>
      </c>
      <c r="F24" s="24">
        <f>AVERAGE(V11:Z11)</f>
        <v>1251.5999999999999</v>
      </c>
      <c r="G24" s="11"/>
      <c r="H24" s="11"/>
    </row>
    <row r="25" spans="1:32" x14ac:dyDescent="0.25">
      <c r="A25" s="13" t="str">
        <f>+A12</f>
        <v>M5</v>
      </c>
      <c r="B25" s="24">
        <f>AVERAGE(B12:F12)</f>
        <v>26.059999999999995</v>
      </c>
      <c r="C25" s="24">
        <f>AVERAGE(G12:K12)</f>
        <v>69.500000000000014</v>
      </c>
      <c r="D25" s="24">
        <f>AVERAGE(L12:P12)</f>
        <v>256.2</v>
      </c>
      <c r="E25" s="24">
        <f>AVERAGE(Q12:U12)</f>
        <v>543.79999999999995</v>
      </c>
      <c r="F25" s="24">
        <f>AVERAGE(V12:Z12)</f>
        <v>1253.2</v>
      </c>
      <c r="G25" s="11"/>
      <c r="H25" s="11"/>
    </row>
    <row r="27" spans="1:32" x14ac:dyDescent="0.25">
      <c r="A27" s="855" t="str">
        <f>+A20</f>
        <v>Metrologo</v>
      </c>
      <c r="B27" s="859" t="s">
        <v>89</v>
      </c>
      <c r="C27" s="860"/>
      <c r="D27" s="860"/>
      <c r="E27" s="860"/>
      <c r="F27" s="860"/>
      <c r="G27" s="8"/>
      <c r="H27" s="9"/>
      <c r="I27" s="9"/>
      <c r="J27" s="9"/>
      <c r="K27" s="11"/>
      <c r="L27" s="11"/>
    </row>
    <row r="28" spans="1:32" x14ac:dyDescent="0.25">
      <c r="A28" s="856"/>
      <c r="B28" s="18">
        <v>1</v>
      </c>
      <c r="C28" s="18">
        <v>2</v>
      </c>
      <c r="D28" s="18">
        <v>3</v>
      </c>
      <c r="E28" s="18">
        <v>4</v>
      </c>
      <c r="F28" s="18">
        <v>5</v>
      </c>
      <c r="G28" s="8"/>
      <c r="H28" s="9"/>
      <c r="I28" s="9"/>
      <c r="J28" s="9"/>
    </row>
    <row r="29" spans="1:32" x14ac:dyDescent="0.25">
      <c r="A29" s="13" t="str">
        <f>+A22</f>
        <v>M1</v>
      </c>
      <c r="B29" s="6">
        <f>ABS(MAX(B9:F9)-MIN(B9:F9))</f>
        <v>0.80000000000000071</v>
      </c>
      <c r="C29" s="6">
        <f>ABS(MAX(G9:K9)-MIN(G9:K9))</f>
        <v>0.60000000000000853</v>
      </c>
      <c r="D29" s="6">
        <f>ABS(MAX(L9:P9)-MIN(L9:P9))</f>
        <v>1</v>
      </c>
      <c r="E29" s="6">
        <f>ABS(MAX(Q9:U9)-MIN(Q9:U9))</f>
        <v>1</v>
      </c>
      <c r="F29" s="6">
        <f>ABS(MAX(V9:Z9)-MIN(V9:Z9))</f>
        <v>6</v>
      </c>
      <c r="G29" s="20"/>
      <c r="H29" s="20"/>
      <c r="I29" s="21"/>
      <c r="J29" s="22"/>
    </row>
    <row r="30" spans="1:32" x14ac:dyDescent="0.25">
      <c r="A30" s="13" t="str">
        <f>+A23</f>
        <v>M3</v>
      </c>
      <c r="B30" s="6">
        <f>ABS(MAX(B10:F10)-MIN(B10:F10))</f>
        <v>0.89999999999999858</v>
      </c>
      <c r="C30" s="6">
        <f>ABS(MAX(G10:K10)-MIN(G10:K10))</f>
        <v>0.29999999999999716</v>
      </c>
      <c r="D30" s="6">
        <f>ABS(MAX(L10:P10)-MIN(L10:P10))</f>
        <v>1</v>
      </c>
      <c r="E30" s="6">
        <f>ABS(MAX(Q10:U10)-MIN(Q10:U10))</f>
        <v>1</v>
      </c>
      <c r="F30" s="6">
        <f>ABS(MAX(V10:Z10)-MIN(V10:Z10))</f>
        <v>4</v>
      </c>
      <c r="G30" s="11"/>
      <c r="H30" s="11"/>
    </row>
    <row r="31" spans="1:32" x14ac:dyDescent="0.25">
      <c r="A31" s="13" t="str">
        <f>+A24</f>
        <v>M4</v>
      </c>
      <c r="B31" s="6">
        <f>ABS(MAX(B11:F11)-MIN(B11:F11))</f>
        <v>1.3000000000000007</v>
      </c>
      <c r="C31" s="6">
        <f>ABS(MAX(G11:K11)-MIN(G11:K11))</f>
        <v>0.29999999999999716</v>
      </c>
      <c r="D31" s="6">
        <f>ABS(MAX(L11:P11)-MIN(L11:P11))</f>
        <v>1</v>
      </c>
      <c r="E31" s="6">
        <f>ABS(MAX(Q11:U11)-MIN(Q11:U11))</f>
        <v>1</v>
      </c>
      <c r="F31" s="6">
        <f>ABS(MAX(V11:Z11)-MIN(V11:Z11))</f>
        <v>2</v>
      </c>
      <c r="G31" s="11"/>
      <c r="H31" s="11"/>
    </row>
    <row r="32" spans="1:32" x14ac:dyDescent="0.25">
      <c r="A32" s="13" t="str">
        <f>+A25</f>
        <v>M5</v>
      </c>
      <c r="B32" s="6">
        <f>ABS(MAX(B12:F12)-MIN(B12:F12))</f>
        <v>0.80000000000000071</v>
      </c>
      <c r="C32" s="6">
        <f>ABS(MAX(G12:K12)-MIN(G12:K12))</f>
        <v>1.2000000000000028</v>
      </c>
      <c r="D32" s="6">
        <f>ABS(MAX(L12:P12)-MIN(L12:P12))</f>
        <v>2</v>
      </c>
      <c r="E32" s="6">
        <f>ABS(MAX(Q12:U12)-MIN(Q12:U12))</f>
        <v>3</v>
      </c>
      <c r="F32" s="6">
        <f>ABS(MAX(V12:Z12)-MIN(V12:Z12))</f>
        <v>4</v>
      </c>
      <c r="G32" s="11"/>
      <c r="H32" s="11"/>
    </row>
    <row r="33" spans="1:17" x14ac:dyDescent="0.25">
      <c r="G33" s="11"/>
      <c r="H33" s="11"/>
    </row>
    <row r="37" spans="1:17" x14ac:dyDescent="0.25">
      <c r="B37" s="861" t="s">
        <v>90</v>
      </c>
      <c r="C37" s="862"/>
      <c r="D37" s="862"/>
      <c r="E37" s="862"/>
      <c r="F37" s="862"/>
      <c r="G37" s="25"/>
      <c r="H37" s="26"/>
      <c r="I37" s="26"/>
      <c r="J37" s="26"/>
      <c r="K37" s="27"/>
      <c r="L37" s="27"/>
    </row>
    <row r="38" spans="1:17" x14ac:dyDescent="0.25">
      <c r="B38" s="28">
        <f>AVERAGE(B22:B25)</f>
        <v>26.214999999999996</v>
      </c>
      <c r="C38" s="28">
        <f>AVERAGE(C22:C25)</f>
        <v>69.650000000000006</v>
      </c>
      <c r="D38" s="28">
        <f>AVERAGE(D22:D25)</f>
        <v>255.75</v>
      </c>
      <c r="E38" s="28">
        <f>AVERAGE(E22:E25)</f>
        <v>543.79999999999995</v>
      </c>
      <c r="F38" s="29">
        <f>AVERAGE(F22:F25)</f>
        <v>1252.7</v>
      </c>
      <c r="G38" s="30"/>
      <c r="H38" s="31"/>
      <c r="I38" s="32"/>
      <c r="J38" s="32"/>
      <c r="K38" s="32"/>
      <c r="L38" s="32"/>
    </row>
    <row r="40" spans="1:17" x14ac:dyDescent="0.25">
      <c r="B40" s="861" t="s">
        <v>91</v>
      </c>
      <c r="C40" s="862"/>
      <c r="D40" s="862"/>
      <c r="E40" s="862"/>
      <c r="F40" s="862"/>
      <c r="G40" s="25"/>
      <c r="H40" s="26"/>
      <c r="I40" s="26"/>
      <c r="J40" s="26"/>
      <c r="K40" s="33"/>
      <c r="L40" s="33"/>
    </row>
    <row r="41" spans="1:17" x14ac:dyDescent="0.25">
      <c r="B41" s="34">
        <f>STDEVA(B22:B25)</f>
        <v>0.254230866208913</v>
      </c>
      <c r="C41" s="34">
        <f>STDEVA(C22:C25)</f>
        <v>0.17165857586110933</v>
      </c>
      <c r="D41" s="34">
        <f>STDEVA(D22:D25)</f>
        <v>0.34156502553198109</v>
      </c>
      <c r="E41" s="34">
        <f>STDEVA(E22:E25)</f>
        <v>0.32659863237111825</v>
      </c>
      <c r="F41" s="34">
        <f>STDEVA(F22:F25)</f>
        <v>0.73936910042734982</v>
      </c>
      <c r="G41" s="35"/>
      <c r="H41" s="35"/>
    </row>
    <row r="44" spans="1:17" ht="21" x14ac:dyDescent="0.25">
      <c r="A44" s="855" t="str">
        <f>+A27</f>
        <v>Metrologo</v>
      </c>
      <c r="B44" s="857" t="s">
        <v>148</v>
      </c>
      <c r="C44" s="858"/>
      <c r="D44" s="858"/>
      <c r="E44" s="858"/>
      <c r="F44" s="858"/>
      <c r="G44" s="36"/>
      <c r="H44" s="37"/>
      <c r="I44" s="38"/>
      <c r="J44" s="863" t="s">
        <v>144</v>
      </c>
      <c r="K44" s="863"/>
      <c r="L44" s="863"/>
      <c r="M44" s="863"/>
      <c r="N44" s="39"/>
      <c r="O44" s="39"/>
      <c r="P44" s="39"/>
      <c r="Q44" s="39"/>
    </row>
    <row r="45" spans="1:17" x14ac:dyDescent="0.25">
      <c r="A45" s="856"/>
      <c r="B45" s="40">
        <v>1</v>
      </c>
      <c r="C45" s="40">
        <v>2</v>
      </c>
      <c r="D45" s="40">
        <v>3</v>
      </c>
      <c r="E45" s="40">
        <v>4</v>
      </c>
      <c r="F45" s="41">
        <v>5</v>
      </c>
      <c r="G45" s="42"/>
      <c r="H45" s="43"/>
      <c r="I45" s="44"/>
      <c r="J45" s="45">
        <v>0.01</v>
      </c>
      <c r="K45" s="45">
        <v>0.05</v>
      </c>
      <c r="L45" s="46" t="s">
        <v>92</v>
      </c>
      <c r="M45" s="46" t="s">
        <v>93</v>
      </c>
    </row>
    <row r="46" spans="1:17" x14ac:dyDescent="0.25">
      <c r="A46" s="13" t="str">
        <f>+A29</f>
        <v>M1</v>
      </c>
      <c r="B46" s="47">
        <f>(B22-$B$38)/$B$41</f>
        <v>-1.0816939898006666</v>
      </c>
      <c r="C46" s="47">
        <f>(C22-$C$38)/$C$41</f>
        <v>1.2233586288744867</v>
      </c>
      <c r="D46" s="47">
        <f>(D22-$D$38)/$D$41</f>
        <v>0.14638501094231562</v>
      </c>
      <c r="E46" s="47">
        <f>(E22-$E$38)/$E$41</f>
        <v>-1.2247448713914151</v>
      </c>
      <c r="F46" s="47">
        <f>(F22-$F$38)/$F$41</f>
        <v>0.40575133560025267</v>
      </c>
      <c r="G46" s="48"/>
      <c r="H46" s="48"/>
      <c r="J46" s="49">
        <v>1.49</v>
      </c>
      <c r="K46" s="49">
        <v>1.42</v>
      </c>
      <c r="L46" s="6">
        <f>-J46</f>
        <v>-1.49</v>
      </c>
      <c r="M46" s="6">
        <f>-K46</f>
        <v>-1.42</v>
      </c>
    </row>
    <row r="47" spans="1:17" x14ac:dyDescent="0.25">
      <c r="A47" s="13" t="str">
        <f>+A30</f>
        <v>M3</v>
      </c>
      <c r="B47" s="47">
        <f>(B23-$B$38)/$B$41</f>
        <v>0.96369100909516225</v>
      </c>
      <c r="C47" s="47">
        <f>(C23-$C$38)/$C$41</f>
        <v>0.40778620962480128</v>
      </c>
      <c r="D47" s="47">
        <f>(D23-$D$38)/$D$41</f>
        <v>-0.43915503282686369</v>
      </c>
      <c r="E47" s="47">
        <f>(E23-$E$38)/$E$41</f>
        <v>1.2247448713917632</v>
      </c>
      <c r="F47" s="47">
        <f>(F23-$F$38)/$F$41</f>
        <v>0.40575133560025267</v>
      </c>
      <c r="G47" s="48"/>
      <c r="H47" s="48"/>
      <c r="J47" s="6">
        <f>+J46</f>
        <v>1.49</v>
      </c>
      <c r="K47" s="6">
        <f>+K46</f>
        <v>1.42</v>
      </c>
      <c r="L47" s="6">
        <f>+L46</f>
        <v>-1.49</v>
      </c>
      <c r="M47" s="6">
        <f>+M46</f>
        <v>-1.42</v>
      </c>
    </row>
    <row r="48" spans="1:17" x14ac:dyDescent="0.25">
      <c r="A48" s="13" t="str">
        <f>+A31</f>
        <v>M4</v>
      </c>
      <c r="B48" s="47">
        <f>(B24-$B$38)/$B$41</f>
        <v>0.72768504768409747</v>
      </c>
      <c r="C48" s="47">
        <f>(C24-$C$38)/$C$41</f>
        <v>-0.75731724644610676</v>
      </c>
      <c r="D48" s="47">
        <f>(D24-$D$38)/$D$41</f>
        <v>-1.0246950765959597</v>
      </c>
      <c r="E48" s="47">
        <f>(E24-$E$38)/$E$41</f>
        <v>0</v>
      </c>
      <c r="F48" s="47">
        <f>(F24-$F$38)/$F$41</f>
        <v>-1.4877548972013364</v>
      </c>
      <c r="G48" s="48"/>
      <c r="H48" s="48"/>
      <c r="J48" s="6">
        <f>+J47</f>
        <v>1.49</v>
      </c>
      <c r="K48" s="6">
        <f t="shared" ref="K48:M50" si="0">+K47</f>
        <v>1.42</v>
      </c>
      <c r="L48" s="6">
        <f t="shared" si="0"/>
        <v>-1.49</v>
      </c>
      <c r="M48" s="6">
        <f t="shared" si="0"/>
        <v>-1.42</v>
      </c>
    </row>
    <row r="49" spans="1:13" x14ac:dyDescent="0.25">
      <c r="A49" s="13" t="str">
        <f>+A32</f>
        <v>M5</v>
      </c>
      <c r="B49" s="47">
        <f>(B25-$B$38)/$B$41</f>
        <v>-0.6096820669785652</v>
      </c>
      <c r="C49" s="47">
        <f>(C25-$C$38)/$C$41</f>
        <v>-0.87382759205318106</v>
      </c>
      <c r="D49" s="47">
        <f>(D25-$D$38)/$D$41</f>
        <v>1.3174650984805079</v>
      </c>
      <c r="E49" s="47">
        <f>(E25-$E$38)/$E$41</f>
        <v>0</v>
      </c>
      <c r="F49" s="47">
        <f>(F25-$F$38)/$F$41</f>
        <v>0.67625222600052359</v>
      </c>
      <c r="G49" s="48"/>
      <c r="H49" s="48"/>
      <c r="J49" s="6">
        <f>+J48</f>
        <v>1.49</v>
      </c>
      <c r="K49" s="6">
        <f t="shared" si="0"/>
        <v>1.42</v>
      </c>
      <c r="L49" s="6">
        <f t="shared" si="0"/>
        <v>-1.49</v>
      </c>
      <c r="M49" s="6">
        <f t="shared" si="0"/>
        <v>-1.42</v>
      </c>
    </row>
    <row r="50" spans="1:13" x14ac:dyDescent="0.25">
      <c r="J50" s="6">
        <f>+J49</f>
        <v>1.49</v>
      </c>
      <c r="K50" s="6">
        <f t="shared" si="0"/>
        <v>1.42</v>
      </c>
      <c r="L50" s="6">
        <f t="shared" si="0"/>
        <v>-1.49</v>
      </c>
      <c r="M50" s="6">
        <f t="shared" si="0"/>
        <v>-1.42</v>
      </c>
    </row>
    <row r="51" spans="1:13" x14ac:dyDescent="0.25">
      <c r="A51" s="864" t="s">
        <v>94</v>
      </c>
      <c r="B51" s="864"/>
      <c r="J51" s="6"/>
      <c r="K51" s="6"/>
      <c r="L51" s="6"/>
      <c r="M51" s="6"/>
    </row>
    <row r="52" spans="1:13" x14ac:dyDescent="0.25">
      <c r="J52" s="6"/>
      <c r="K52" s="6"/>
      <c r="L52" s="6"/>
      <c r="M52" s="6"/>
    </row>
    <row r="66" spans="1:21" x14ac:dyDescent="0.25">
      <c r="A66" s="865"/>
      <c r="B66" s="865"/>
      <c r="C66" s="865"/>
      <c r="D66" s="865"/>
      <c r="E66" s="865"/>
      <c r="F66" s="865"/>
      <c r="G66" s="865"/>
      <c r="H66" s="865"/>
      <c r="I66" s="865"/>
      <c r="J66" s="865"/>
      <c r="K66" s="865"/>
      <c r="L66" s="865"/>
      <c r="M66" s="865"/>
      <c r="N66" s="865"/>
      <c r="O66" s="865"/>
      <c r="P66" s="865"/>
      <c r="Q66" s="865"/>
      <c r="R66" s="865"/>
      <c r="S66" s="50"/>
      <c r="T66" s="50"/>
      <c r="U66" s="50"/>
    </row>
    <row r="67" spans="1:21" x14ac:dyDescent="0.25">
      <c r="A67" s="865"/>
      <c r="B67" s="865"/>
      <c r="C67" s="865"/>
      <c r="D67" s="865"/>
      <c r="E67" s="865"/>
      <c r="F67" s="865"/>
      <c r="G67" s="865"/>
      <c r="H67" s="865"/>
      <c r="I67" s="865"/>
      <c r="J67" s="865"/>
      <c r="K67" s="865"/>
      <c r="L67" s="865"/>
      <c r="M67" s="865"/>
      <c r="N67" s="865"/>
      <c r="O67" s="865"/>
      <c r="P67" s="865"/>
      <c r="Q67" s="865"/>
      <c r="R67" s="865"/>
      <c r="S67" s="50"/>
      <c r="T67" s="50"/>
      <c r="U67" s="50"/>
    </row>
    <row r="68" spans="1:21" x14ac:dyDescent="0.25">
      <c r="A68" s="865"/>
      <c r="B68" s="865"/>
      <c r="C68" s="865"/>
      <c r="D68" s="865"/>
      <c r="E68" s="865"/>
      <c r="F68" s="865"/>
      <c r="G68" s="865"/>
      <c r="H68" s="865"/>
      <c r="I68" s="865"/>
      <c r="J68" s="865"/>
      <c r="K68" s="865"/>
      <c r="L68" s="865"/>
      <c r="M68" s="865"/>
      <c r="N68" s="865"/>
      <c r="O68" s="865"/>
      <c r="P68" s="865"/>
      <c r="Q68" s="865"/>
      <c r="R68" s="865"/>
      <c r="S68" s="50"/>
      <c r="T68" s="50"/>
      <c r="U68" s="50"/>
    </row>
    <row r="69" spans="1:21" x14ac:dyDescent="0.25">
      <c r="A69" s="865"/>
      <c r="B69" s="865"/>
      <c r="C69" s="865"/>
      <c r="D69" s="865"/>
      <c r="E69" s="865"/>
      <c r="F69" s="865"/>
      <c r="G69" s="865"/>
      <c r="H69" s="865"/>
      <c r="I69" s="865"/>
      <c r="J69" s="865"/>
      <c r="K69" s="865"/>
      <c r="L69" s="865"/>
      <c r="M69" s="865"/>
      <c r="N69" s="865"/>
      <c r="O69" s="865"/>
      <c r="P69" s="865"/>
      <c r="Q69" s="865"/>
      <c r="R69" s="865"/>
      <c r="S69" s="50"/>
      <c r="T69" s="50"/>
      <c r="U69" s="50"/>
    </row>
    <row r="71" spans="1:21" ht="18.75" x14ac:dyDescent="0.3">
      <c r="B71" t="s">
        <v>95</v>
      </c>
      <c r="J71" s="51"/>
      <c r="K71" s="51"/>
      <c r="L71" s="51"/>
    </row>
    <row r="73" spans="1:21" x14ac:dyDescent="0.25">
      <c r="A73" s="855" t="str">
        <f>+A44</f>
        <v>Metrologo</v>
      </c>
      <c r="B73" s="857" t="s">
        <v>146</v>
      </c>
      <c r="C73" s="858"/>
      <c r="D73" s="858"/>
      <c r="E73" s="858"/>
      <c r="F73" s="858"/>
      <c r="G73" s="36"/>
      <c r="H73" s="37"/>
      <c r="I73" s="37"/>
      <c r="J73" s="37"/>
      <c r="K73" s="52"/>
      <c r="L73" s="52"/>
    </row>
    <row r="74" spans="1:21" x14ac:dyDescent="0.25">
      <c r="A74" s="856"/>
      <c r="B74" s="40">
        <v>1</v>
      </c>
      <c r="C74" s="40">
        <v>2</v>
      </c>
      <c r="D74" s="40">
        <v>3</v>
      </c>
      <c r="E74" s="40">
        <v>4</v>
      </c>
      <c r="F74" s="41">
        <v>5</v>
      </c>
      <c r="G74" s="42"/>
      <c r="H74" s="43"/>
      <c r="I74" s="32"/>
      <c r="J74" s="32"/>
    </row>
    <row r="75" spans="1:21" x14ac:dyDescent="0.25">
      <c r="A75" s="13" t="str">
        <f>+A46</f>
        <v>M1</v>
      </c>
      <c r="B75" s="53">
        <f t="shared" ref="B75:F78" si="1">B29/SQRT(2)</f>
        <v>0.56568542494923846</v>
      </c>
      <c r="C75" s="53">
        <f t="shared" si="1"/>
        <v>0.42426406871193451</v>
      </c>
      <c r="D75" s="53">
        <f t="shared" si="1"/>
        <v>0.70710678118654746</v>
      </c>
      <c r="E75" s="53">
        <f t="shared" si="1"/>
        <v>0.70710678118654746</v>
      </c>
      <c r="F75" s="54">
        <f t="shared" si="1"/>
        <v>4.2426406871192848</v>
      </c>
      <c r="G75" s="55"/>
      <c r="H75" s="56"/>
      <c r="I75" s="32"/>
      <c r="J75" s="32"/>
    </row>
    <row r="76" spans="1:21" x14ac:dyDescent="0.25">
      <c r="A76" s="13" t="str">
        <f>+A47</f>
        <v>M3</v>
      </c>
      <c r="B76" s="53">
        <f t="shared" si="1"/>
        <v>0.63639610306789174</v>
      </c>
      <c r="C76" s="53">
        <f t="shared" si="1"/>
        <v>0.21213203435596223</v>
      </c>
      <c r="D76" s="53">
        <f t="shared" si="1"/>
        <v>0.70710678118654746</v>
      </c>
      <c r="E76" s="53">
        <f t="shared" si="1"/>
        <v>0.70710678118654746</v>
      </c>
      <c r="F76" s="54">
        <f t="shared" si="1"/>
        <v>2.8284271247461898</v>
      </c>
      <c r="G76" s="55"/>
      <c r="H76" s="56"/>
      <c r="I76" s="32"/>
      <c r="J76" s="32"/>
    </row>
    <row r="77" spans="1:21" x14ac:dyDescent="0.25">
      <c r="A77" s="13" t="str">
        <f>+A48</f>
        <v>M4</v>
      </c>
      <c r="B77" s="53">
        <f t="shared" si="1"/>
        <v>0.91923881554251219</v>
      </c>
      <c r="C77" s="53">
        <f t="shared" si="1"/>
        <v>0.21213203435596223</v>
      </c>
      <c r="D77" s="53">
        <f t="shared" si="1"/>
        <v>0.70710678118654746</v>
      </c>
      <c r="E77" s="53">
        <f t="shared" si="1"/>
        <v>0.70710678118654746</v>
      </c>
      <c r="F77" s="54">
        <f t="shared" si="1"/>
        <v>1.4142135623730949</v>
      </c>
      <c r="G77" s="55"/>
      <c r="H77" s="56"/>
      <c r="I77" s="32"/>
      <c r="J77" s="32"/>
    </row>
    <row r="78" spans="1:21" x14ac:dyDescent="0.25">
      <c r="A78" s="13" t="str">
        <f>+A49</f>
        <v>M5</v>
      </c>
      <c r="B78" s="53">
        <f t="shared" si="1"/>
        <v>0.56568542494923846</v>
      </c>
      <c r="C78" s="53">
        <f t="shared" si="1"/>
        <v>0.84852813742385902</v>
      </c>
      <c r="D78" s="53">
        <f t="shared" si="1"/>
        <v>1.4142135623730949</v>
      </c>
      <c r="E78" s="53">
        <f t="shared" si="1"/>
        <v>2.1213203435596424</v>
      </c>
      <c r="F78" s="54">
        <f t="shared" si="1"/>
        <v>2.8284271247461898</v>
      </c>
      <c r="G78" s="55"/>
      <c r="H78" s="56"/>
      <c r="I78" s="32"/>
      <c r="J78" s="32"/>
    </row>
    <row r="80" spans="1:21" x14ac:dyDescent="0.25">
      <c r="B80" s="57">
        <f>SQRT(SUMSQ(B75:B78))</f>
        <v>1.374772708486752</v>
      </c>
      <c r="C80" s="57">
        <f>SQRT(SUMSQ(C75:C78))</f>
        <v>0.99498743710662341</v>
      </c>
      <c r="D80" s="57">
        <f>SQRT(SUMSQ(D75:D78))</f>
        <v>1.8708286933869704</v>
      </c>
      <c r="E80" s="57">
        <f>SQRT(SUMSQ(E75:E78))</f>
        <v>2.4494897427831779</v>
      </c>
      <c r="F80" s="57">
        <f>SQRT(SUMSQ(F75:F78))</f>
        <v>5.9999999999999991</v>
      </c>
      <c r="G80" s="58"/>
      <c r="H80" s="58"/>
    </row>
    <row r="82" spans="1:17" x14ac:dyDescent="0.25">
      <c r="A82" s="855" t="str">
        <f>+A73</f>
        <v>Metrologo</v>
      </c>
      <c r="B82" s="59" t="s">
        <v>145</v>
      </c>
      <c r="C82" s="60"/>
      <c r="D82" s="60"/>
      <c r="E82" s="60"/>
      <c r="F82" s="60"/>
      <c r="G82" s="8"/>
      <c r="H82" s="9"/>
      <c r="I82" s="61"/>
      <c r="J82" s="866" t="s">
        <v>151</v>
      </c>
      <c r="K82" s="867"/>
      <c r="L82" s="62"/>
      <c r="M82" s="63"/>
      <c r="N82" s="39"/>
      <c r="O82" s="39"/>
      <c r="P82" s="39"/>
      <c r="Q82" s="39"/>
    </row>
    <row r="83" spans="1:17" x14ac:dyDescent="0.25">
      <c r="A83" s="856"/>
      <c r="B83" s="40">
        <v>1</v>
      </c>
      <c r="C83" s="40">
        <v>2</v>
      </c>
      <c r="D83" s="40">
        <v>3</v>
      </c>
      <c r="E83" s="40">
        <v>4</v>
      </c>
      <c r="F83" s="41">
        <v>5</v>
      </c>
      <c r="G83" s="64"/>
      <c r="H83" s="65"/>
      <c r="I83" s="66"/>
      <c r="J83" s="67">
        <v>0.01</v>
      </c>
      <c r="K83" s="67">
        <v>0.05</v>
      </c>
      <c r="L83" s="68"/>
      <c r="M83" s="68"/>
      <c r="N83" s="68"/>
      <c r="O83" s="68"/>
    </row>
    <row r="84" spans="1:17" x14ac:dyDescent="0.25">
      <c r="A84" s="13" t="str">
        <f>+A75</f>
        <v>M1</v>
      </c>
      <c r="B84" s="28">
        <f t="shared" ref="B84:F87" si="2">B75*SQRT($C$2)/$B$80</f>
        <v>0.92008741245647307</v>
      </c>
      <c r="C84" s="28">
        <f t="shared" si="2"/>
        <v>0.69006555934236391</v>
      </c>
      <c r="D84" s="28">
        <f t="shared" si="2"/>
        <v>1.1501092655705902</v>
      </c>
      <c r="E84" s="28">
        <f t="shared" si="2"/>
        <v>1.1501092655705902</v>
      </c>
      <c r="F84" s="28">
        <f t="shared" si="2"/>
        <v>6.9006555934235418</v>
      </c>
      <c r="G84" s="69"/>
      <c r="H84" s="69"/>
      <c r="J84" s="70">
        <v>1.55</v>
      </c>
      <c r="K84" s="70">
        <v>1.4</v>
      </c>
    </row>
    <row r="85" spans="1:17" x14ac:dyDescent="0.25">
      <c r="A85" s="13" t="str">
        <f>+A76</f>
        <v>M3</v>
      </c>
      <c r="B85" s="28">
        <f t="shared" si="2"/>
        <v>1.0350983390135298</v>
      </c>
      <c r="C85" s="28">
        <f t="shared" si="2"/>
        <v>0.34503277967117379</v>
      </c>
      <c r="D85" s="28">
        <f t="shared" si="2"/>
        <v>1.1501092655705902</v>
      </c>
      <c r="E85" s="28">
        <f t="shared" si="2"/>
        <v>1.1501092655705902</v>
      </c>
      <c r="F85" s="28">
        <f t="shared" si="2"/>
        <v>4.6004370622823609</v>
      </c>
      <c r="G85" s="35"/>
      <c r="H85" s="35"/>
      <c r="J85" s="5">
        <f t="shared" ref="J85:K88" si="3">+J84</f>
        <v>1.55</v>
      </c>
      <c r="K85" s="5">
        <f t="shared" si="3"/>
        <v>1.4</v>
      </c>
    </row>
    <row r="86" spans="1:17" x14ac:dyDescent="0.25">
      <c r="A86" s="13" t="str">
        <f>+A77</f>
        <v>M4</v>
      </c>
      <c r="B86" s="28">
        <f t="shared" si="2"/>
        <v>1.4951420452417681</v>
      </c>
      <c r="C86" s="28">
        <f t="shared" si="2"/>
        <v>0.34503277967117379</v>
      </c>
      <c r="D86" s="28">
        <f t="shared" si="2"/>
        <v>1.1501092655705902</v>
      </c>
      <c r="E86" s="28">
        <f t="shared" si="2"/>
        <v>1.1501092655705902</v>
      </c>
      <c r="F86" s="28">
        <f t="shared" si="2"/>
        <v>2.3002185311411805</v>
      </c>
      <c r="G86" s="35"/>
      <c r="H86" s="35"/>
      <c r="J86" s="5">
        <f t="shared" si="3"/>
        <v>1.55</v>
      </c>
      <c r="K86" s="5">
        <f t="shared" si="3"/>
        <v>1.4</v>
      </c>
    </row>
    <row r="87" spans="1:17" x14ac:dyDescent="0.25">
      <c r="A87" s="13" t="str">
        <f>+A78</f>
        <v>M5</v>
      </c>
      <c r="B87" s="28">
        <f t="shared" si="2"/>
        <v>0.92008741245647307</v>
      </c>
      <c r="C87" s="28">
        <f t="shared" si="2"/>
        <v>1.3801311186847118</v>
      </c>
      <c r="D87" s="28">
        <f t="shared" si="2"/>
        <v>2.3002185311411805</v>
      </c>
      <c r="E87" s="28">
        <f t="shared" si="2"/>
        <v>3.4503277967117709</v>
      </c>
      <c r="F87" s="145">
        <f>F78*SQRT($C$2)/$B$80-4</f>
        <v>0.60043706228236093</v>
      </c>
      <c r="G87" s="35"/>
      <c r="H87" s="35"/>
      <c r="J87" s="5">
        <f t="shared" si="3"/>
        <v>1.55</v>
      </c>
      <c r="K87" s="5">
        <f t="shared" si="3"/>
        <v>1.4</v>
      </c>
    </row>
    <row r="88" spans="1:17" x14ac:dyDescent="0.25">
      <c r="J88" s="5">
        <f t="shared" si="3"/>
        <v>1.55</v>
      </c>
      <c r="K88" s="5">
        <f t="shared" si="3"/>
        <v>1.4</v>
      </c>
    </row>
    <row r="90" spans="1:17" x14ac:dyDescent="0.25">
      <c r="A90" s="864" t="s">
        <v>94</v>
      </c>
      <c r="B90" s="864"/>
    </row>
    <row r="105" spans="1:27" x14ac:dyDescent="0.25">
      <c r="B105" s="71"/>
    </row>
    <row r="106" spans="1:27" x14ac:dyDescent="0.25">
      <c r="B106" s="71"/>
    </row>
    <row r="107" spans="1:27" x14ac:dyDescent="0.25">
      <c r="A107" t="s">
        <v>96</v>
      </c>
    </row>
    <row r="108" spans="1:27" x14ac:dyDescent="0.25">
      <c r="A108" s="855" t="str">
        <f>+A82</f>
        <v>Metrologo</v>
      </c>
      <c r="B108" s="144" t="s">
        <v>87</v>
      </c>
      <c r="C108" s="144"/>
      <c r="D108" s="144"/>
      <c r="E108" s="144"/>
      <c r="F108" s="144"/>
      <c r="G108" s="144"/>
      <c r="H108" s="144"/>
      <c r="I108" s="144"/>
      <c r="J108" s="144"/>
      <c r="K108" s="144"/>
      <c r="L108" s="144"/>
      <c r="M108" s="144"/>
      <c r="N108" s="144"/>
      <c r="O108" s="144"/>
      <c r="P108" s="144"/>
      <c r="Q108" s="144"/>
      <c r="R108" s="144"/>
      <c r="S108" s="144"/>
    </row>
    <row r="109" spans="1:27" x14ac:dyDescent="0.25">
      <c r="A109" s="856"/>
      <c r="B109" s="72">
        <v>1</v>
      </c>
      <c r="C109" s="73"/>
      <c r="D109" s="73"/>
      <c r="E109" s="73"/>
      <c r="F109" s="74"/>
      <c r="G109" s="72">
        <v>2</v>
      </c>
      <c r="H109" s="73"/>
      <c r="I109" s="73"/>
      <c r="J109" s="73"/>
      <c r="K109" s="74"/>
      <c r="L109" s="72">
        <v>3</v>
      </c>
      <c r="M109" s="73"/>
      <c r="N109" s="73"/>
      <c r="O109" s="73"/>
      <c r="P109" s="74"/>
      <c r="Q109" s="72">
        <v>4</v>
      </c>
      <c r="R109" s="73"/>
      <c r="S109" s="73"/>
      <c r="T109" s="73"/>
      <c r="U109" s="73"/>
      <c r="V109" s="74"/>
      <c r="W109" s="72">
        <v>5</v>
      </c>
      <c r="X109" s="73"/>
      <c r="Y109" s="73"/>
      <c r="Z109" s="73"/>
      <c r="AA109" s="74"/>
    </row>
    <row r="110" spans="1:27" x14ac:dyDescent="0.25">
      <c r="A110" s="13" t="str">
        <f>+A84</f>
        <v>M1</v>
      </c>
      <c r="B110" s="5">
        <f t="shared" ref="B110:Q110" si="4">+B9</f>
        <v>25.8</v>
      </c>
      <c r="C110" s="5">
        <f t="shared" si="4"/>
        <v>26.2</v>
      </c>
      <c r="D110" s="5">
        <f t="shared" si="4"/>
        <v>25.9</v>
      </c>
      <c r="E110" s="5">
        <f t="shared" si="4"/>
        <v>26.3</v>
      </c>
      <c r="F110" s="5">
        <f t="shared" si="4"/>
        <v>25.5</v>
      </c>
      <c r="G110" s="5">
        <f t="shared" si="4"/>
        <v>70.2</v>
      </c>
      <c r="H110" s="5">
        <f t="shared" si="4"/>
        <v>69.900000000000006</v>
      </c>
      <c r="I110" s="5">
        <f t="shared" si="4"/>
        <v>69.8</v>
      </c>
      <c r="J110" s="5">
        <f t="shared" si="4"/>
        <v>69.599999999999994</v>
      </c>
      <c r="K110" s="5">
        <f t="shared" si="4"/>
        <v>69.8</v>
      </c>
      <c r="L110" s="5">
        <f t="shared" si="4"/>
        <v>256</v>
      </c>
      <c r="M110" s="5">
        <f t="shared" si="4"/>
        <v>256</v>
      </c>
      <c r="N110" s="5">
        <f t="shared" si="4"/>
        <v>255</v>
      </c>
      <c r="O110" s="5">
        <f t="shared" si="4"/>
        <v>256</v>
      </c>
      <c r="P110" s="5">
        <f t="shared" si="4"/>
        <v>256</v>
      </c>
      <c r="Q110" s="5">
        <f t="shared" si="4"/>
        <v>544</v>
      </c>
      <c r="R110" s="5"/>
      <c r="S110" s="5">
        <f t="shared" ref="S110:AA110" si="5">+R9</f>
        <v>543</v>
      </c>
      <c r="T110" s="5">
        <f t="shared" si="5"/>
        <v>543</v>
      </c>
      <c r="U110" s="5">
        <f t="shared" si="5"/>
        <v>543</v>
      </c>
      <c r="V110" s="5">
        <f t="shared" si="5"/>
        <v>544</v>
      </c>
      <c r="W110" s="5">
        <f t="shared" si="5"/>
        <v>1254</v>
      </c>
      <c r="X110" s="5">
        <f t="shared" si="5"/>
        <v>1255</v>
      </c>
      <c r="Y110" s="5">
        <f t="shared" si="5"/>
        <v>1253</v>
      </c>
      <c r="Z110" s="5">
        <f t="shared" si="5"/>
        <v>1249</v>
      </c>
      <c r="AA110" s="5">
        <f t="shared" si="5"/>
        <v>1254</v>
      </c>
    </row>
    <row r="111" spans="1:27" x14ac:dyDescent="0.25">
      <c r="A111" s="13" t="str">
        <f>+A85</f>
        <v>M3</v>
      </c>
      <c r="B111" s="5">
        <f t="shared" ref="B111:Q111" si="6">+B10</f>
        <v>26.5</v>
      </c>
      <c r="C111" s="5">
        <f t="shared" si="6"/>
        <v>26.9</v>
      </c>
      <c r="D111" s="5">
        <f t="shared" si="6"/>
        <v>26</v>
      </c>
      <c r="E111" s="7">
        <f t="shared" si="6"/>
        <v>26.2</v>
      </c>
      <c r="F111" s="5">
        <f t="shared" si="6"/>
        <v>26.7</v>
      </c>
      <c r="G111" s="5">
        <f t="shared" si="6"/>
        <v>69.7</v>
      </c>
      <c r="H111" s="5">
        <f t="shared" si="6"/>
        <v>69.5</v>
      </c>
      <c r="I111" s="5">
        <f t="shared" si="6"/>
        <v>69.8</v>
      </c>
      <c r="J111" s="5">
        <f t="shared" si="6"/>
        <v>69.8</v>
      </c>
      <c r="K111" s="5">
        <f t="shared" si="6"/>
        <v>69.8</v>
      </c>
      <c r="L111" s="5">
        <f t="shared" si="6"/>
        <v>255</v>
      </c>
      <c r="M111" s="5">
        <f t="shared" si="6"/>
        <v>255</v>
      </c>
      <c r="N111" s="5">
        <f t="shared" si="6"/>
        <v>256</v>
      </c>
      <c r="O111" s="5">
        <f t="shared" si="6"/>
        <v>256</v>
      </c>
      <c r="P111" s="5">
        <f t="shared" si="6"/>
        <v>256</v>
      </c>
      <c r="Q111" s="5">
        <f t="shared" si="6"/>
        <v>544</v>
      </c>
      <c r="R111" s="5"/>
      <c r="S111" s="5">
        <f t="shared" ref="S111:AA111" si="7">+R10</f>
        <v>544</v>
      </c>
      <c r="T111" s="5">
        <f t="shared" si="7"/>
        <v>544</v>
      </c>
      <c r="U111" s="5">
        <f t="shared" si="7"/>
        <v>545</v>
      </c>
      <c r="V111" s="5">
        <f t="shared" si="7"/>
        <v>544</v>
      </c>
      <c r="W111" s="5">
        <f t="shared" si="7"/>
        <v>1254</v>
      </c>
      <c r="X111" s="5">
        <f t="shared" si="7"/>
        <v>1253</v>
      </c>
      <c r="Y111" s="5">
        <f t="shared" si="7"/>
        <v>1254</v>
      </c>
      <c r="Z111" s="149">
        <f t="shared" si="7"/>
        <v>1250</v>
      </c>
      <c r="AA111" s="5">
        <f t="shared" si="7"/>
        <v>1254</v>
      </c>
    </row>
    <row r="112" spans="1:27" x14ac:dyDescent="0.25">
      <c r="A112" s="13" t="str">
        <f>+A86</f>
        <v>M4</v>
      </c>
      <c r="B112" s="5">
        <f t="shared" ref="B112:Q112" si="8">+B11</f>
        <v>25.8</v>
      </c>
      <c r="C112" s="5">
        <f t="shared" si="8"/>
        <v>27.1</v>
      </c>
      <c r="D112" s="5">
        <f t="shared" si="8"/>
        <v>26.5</v>
      </c>
      <c r="E112" s="5">
        <f t="shared" si="8"/>
        <v>26.1</v>
      </c>
      <c r="F112" s="5">
        <f t="shared" si="8"/>
        <v>26.5</v>
      </c>
      <c r="G112" s="5">
        <f t="shared" si="8"/>
        <v>69.599999999999994</v>
      </c>
      <c r="H112" s="5">
        <f t="shared" si="8"/>
        <v>69.400000000000006</v>
      </c>
      <c r="I112" s="5">
        <f t="shared" si="8"/>
        <v>69.5</v>
      </c>
      <c r="J112" s="5">
        <f t="shared" si="8"/>
        <v>69.7</v>
      </c>
      <c r="K112" s="5">
        <f t="shared" si="8"/>
        <v>69.400000000000006</v>
      </c>
      <c r="L112" s="5">
        <f t="shared" si="8"/>
        <v>256</v>
      </c>
      <c r="M112" s="5">
        <f t="shared" si="8"/>
        <v>255</v>
      </c>
      <c r="N112" s="5">
        <f t="shared" si="8"/>
        <v>255</v>
      </c>
      <c r="O112" s="5">
        <f t="shared" si="8"/>
        <v>255</v>
      </c>
      <c r="P112" s="5">
        <f t="shared" si="8"/>
        <v>256</v>
      </c>
      <c r="Q112" s="5">
        <f t="shared" si="8"/>
        <v>544</v>
      </c>
      <c r="R112" s="5"/>
      <c r="S112" s="5">
        <f t="shared" ref="S112:AA112" si="9">+R11</f>
        <v>544</v>
      </c>
      <c r="T112" s="5">
        <f t="shared" si="9"/>
        <v>543</v>
      </c>
      <c r="U112" s="5">
        <f t="shared" si="9"/>
        <v>544</v>
      </c>
      <c r="V112" s="5">
        <f t="shared" si="9"/>
        <v>544</v>
      </c>
      <c r="W112" s="5">
        <f t="shared" si="9"/>
        <v>1251</v>
      </c>
      <c r="X112" s="5">
        <f t="shared" si="9"/>
        <v>1253</v>
      </c>
      <c r="Y112" s="5">
        <f t="shared" si="9"/>
        <v>1251</v>
      </c>
      <c r="Z112" s="5">
        <f t="shared" si="9"/>
        <v>1252</v>
      </c>
      <c r="AA112" s="5">
        <f t="shared" si="9"/>
        <v>1251</v>
      </c>
    </row>
    <row r="113" spans="1:27" x14ac:dyDescent="0.25">
      <c r="A113" s="13" t="str">
        <f>+A87</f>
        <v>M5</v>
      </c>
      <c r="B113" s="5">
        <f t="shared" ref="B113:Q113" si="10">+B12</f>
        <v>26.4</v>
      </c>
      <c r="C113" s="5">
        <f t="shared" si="10"/>
        <v>25.9</v>
      </c>
      <c r="D113" s="5">
        <f t="shared" si="10"/>
        <v>25.8</v>
      </c>
      <c r="E113" s="5">
        <f t="shared" si="10"/>
        <v>26.5</v>
      </c>
      <c r="F113" s="5">
        <f t="shared" si="10"/>
        <v>25.7</v>
      </c>
      <c r="G113" s="5">
        <f t="shared" si="10"/>
        <v>69.599999999999994</v>
      </c>
      <c r="H113" s="5">
        <f t="shared" si="10"/>
        <v>69.5</v>
      </c>
      <c r="I113" s="5">
        <f t="shared" si="10"/>
        <v>68.7</v>
      </c>
      <c r="J113" s="5">
        <f t="shared" si="10"/>
        <v>69.900000000000006</v>
      </c>
      <c r="K113" s="5">
        <f t="shared" si="10"/>
        <v>69.8</v>
      </c>
      <c r="L113" s="5">
        <f t="shared" si="10"/>
        <v>256</v>
      </c>
      <c r="M113" s="5">
        <f t="shared" si="10"/>
        <v>255</v>
      </c>
      <c r="N113" s="5">
        <f t="shared" si="10"/>
        <v>257</v>
      </c>
      <c r="O113" s="5">
        <f t="shared" si="10"/>
        <v>257</v>
      </c>
      <c r="P113" s="5">
        <f t="shared" si="10"/>
        <v>256</v>
      </c>
      <c r="Q113" s="5">
        <f t="shared" si="10"/>
        <v>545</v>
      </c>
      <c r="R113" s="5"/>
      <c r="S113" s="5">
        <f t="shared" ref="S113:AA113" si="11">+R12</f>
        <v>542</v>
      </c>
      <c r="T113" s="5">
        <f t="shared" si="11"/>
        <v>543</v>
      </c>
      <c r="U113" s="5">
        <f t="shared" si="11"/>
        <v>544</v>
      </c>
      <c r="V113" s="5">
        <f t="shared" si="11"/>
        <v>545</v>
      </c>
      <c r="W113" s="5">
        <f t="shared" si="11"/>
        <v>1251</v>
      </c>
      <c r="X113" s="5">
        <f t="shared" si="11"/>
        <v>1255</v>
      </c>
      <c r="Y113" s="5">
        <f t="shared" si="11"/>
        <v>1251</v>
      </c>
      <c r="Z113" s="5">
        <f t="shared" si="11"/>
        <v>1255</v>
      </c>
      <c r="AA113" s="5">
        <f t="shared" si="11"/>
        <v>1254</v>
      </c>
    </row>
    <row r="115" spans="1:27" x14ac:dyDescent="0.25">
      <c r="A115" s="855" t="str">
        <f>+A108</f>
        <v>Metrologo</v>
      </c>
      <c r="B115" s="863">
        <v>1</v>
      </c>
      <c r="C115" s="863"/>
      <c r="D115" s="863">
        <v>2</v>
      </c>
      <c r="E115" s="863"/>
      <c r="F115" s="863">
        <v>3</v>
      </c>
      <c r="G115" s="863"/>
      <c r="H115" s="863">
        <v>4</v>
      </c>
      <c r="I115" s="863"/>
      <c r="J115" s="863">
        <v>5</v>
      </c>
      <c r="K115" s="863"/>
      <c r="L115" s="869"/>
      <c r="M115" s="870"/>
      <c r="N115" s="870"/>
      <c r="O115" s="870"/>
      <c r="P115" s="870"/>
      <c r="Q115" s="870"/>
      <c r="R115" s="870"/>
      <c r="S115" s="870"/>
      <c r="T115" s="32"/>
      <c r="U115" s="32"/>
    </row>
    <row r="116" spans="1:27" ht="39.75" customHeight="1" x14ac:dyDescent="0.25">
      <c r="A116" s="868"/>
      <c r="B116" s="75"/>
      <c r="C116" s="75"/>
      <c r="D116" s="75"/>
      <c r="E116" s="75"/>
      <c r="F116" s="75"/>
      <c r="G116" s="75"/>
      <c r="H116" s="75"/>
      <c r="I116" s="75"/>
      <c r="J116" s="75"/>
      <c r="K116" s="75"/>
      <c r="L116" s="76"/>
      <c r="M116" s="76"/>
      <c r="N116" s="76"/>
      <c r="O116" s="76"/>
      <c r="P116" s="76"/>
      <c r="Q116" s="76"/>
      <c r="R116" s="76"/>
      <c r="S116" s="76"/>
      <c r="T116" s="32"/>
      <c r="U116" s="32"/>
    </row>
    <row r="117" spans="1:27" x14ac:dyDescent="0.25">
      <c r="A117" s="856"/>
      <c r="B117" s="148" t="s">
        <v>97</v>
      </c>
      <c r="C117" s="148" t="s">
        <v>98</v>
      </c>
      <c r="D117" s="148" t="s">
        <v>97</v>
      </c>
      <c r="E117" s="148" t="s">
        <v>98</v>
      </c>
      <c r="F117" s="148" t="s">
        <v>97</v>
      </c>
      <c r="G117" s="148" t="s">
        <v>98</v>
      </c>
      <c r="H117" s="148" t="s">
        <v>97</v>
      </c>
      <c r="I117" s="148" t="s">
        <v>98</v>
      </c>
      <c r="J117" s="148" t="s">
        <v>97</v>
      </c>
      <c r="K117" s="148" t="s">
        <v>98</v>
      </c>
    </row>
    <row r="118" spans="1:27" x14ac:dyDescent="0.25">
      <c r="A118" s="13" t="str">
        <f>+A110</f>
        <v>M1</v>
      </c>
      <c r="B118" s="147">
        <f>AVERAGE(B110:F110)</f>
        <v>25.939999999999998</v>
      </c>
      <c r="C118" s="146">
        <v>5</v>
      </c>
      <c r="D118" s="47">
        <f>AVERAGE(G110:K110)</f>
        <v>69.86</v>
      </c>
      <c r="E118" s="77">
        <v>5</v>
      </c>
      <c r="F118" s="47">
        <f>AVERAGE(L110:P110)</f>
        <v>255.8</v>
      </c>
      <c r="G118" s="77">
        <v>5</v>
      </c>
      <c r="H118" s="47">
        <f>AVERAGE(Q110:V110)</f>
        <v>543.4</v>
      </c>
      <c r="I118" s="77">
        <v>5</v>
      </c>
      <c r="J118" s="47">
        <f>AVERAGE(W110:AA110)</f>
        <v>1253</v>
      </c>
      <c r="K118" s="77">
        <v>5</v>
      </c>
    </row>
    <row r="119" spans="1:27" x14ac:dyDescent="0.25">
      <c r="A119" s="13" t="str">
        <f>+A111</f>
        <v>M3</v>
      </c>
      <c r="B119" s="47">
        <f>AVERAGE(B111:F111)</f>
        <v>26.46</v>
      </c>
      <c r="C119" s="77">
        <v>5</v>
      </c>
      <c r="D119" s="47">
        <f>AVERAGE(G111:K111)</f>
        <v>69.72</v>
      </c>
      <c r="E119" s="77">
        <v>5</v>
      </c>
      <c r="F119" s="47">
        <f>AVERAGE(L111:P111)</f>
        <v>255.6</v>
      </c>
      <c r="G119" s="77">
        <v>5</v>
      </c>
      <c r="H119" s="47">
        <f>AVERAGE(Q111:V111)</f>
        <v>544.20000000000005</v>
      </c>
      <c r="I119" s="77">
        <v>5</v>
      </c>
      <c r="J119" s="47">
        <f>AVERAGE(W111:Y111,AA111)</f>
        <v>1253.75</v>
      </c>
      <c r="K119" s="77">
        <v>4</v>
      </c>
    </row>
    <row r="120" spans="1:27" x14ac:dyDescent="0.25">
      <c r="A120" s="13" t="str">
        <f>+A112</f>
        <v>M4</v>
      </c>
      <c r="B120" s="47">
        <f>AVERAGE(B112:F112)</f>
        <v>26.4</v>
      </c>
      <c r="C120" s="77">
        <v>5</v>
      </c>
      <c r="D120" s="47">
        <f>AVERAGE(G112:K112)</f>
        <v>69.52000000000001</v>
      </c>
      <c r="E120" s="77">
        <v>5</v>
      </c>
      <c r="F120" s="47">
        <f>AVERAGE(L112:P112)</f>
        <v>255.4</v>
      </c>
      <c r="G120" s="77">
        <v>5</v>
      </c>
      <c r="H120" s="47">
        <f>AVERAGE(Q112:V112)</f>
        <v>543.79999999999995</v>
      </c>
      <c r="I120" s="77">
        <v>5</v>
      </c>
      <c r="J120" s="47">
        <f>AVERAGE(W112:AA112)</f>
        <v>1251.5999999999999</v>
      </c>
      <c r="K120" s="77">
        <v>5</v>
      </c>
    </row>
    <row r="121" spans="1:27" x14ac:dyDescent="0.25">
      <c r="A121" s="13" t="str">
        <f>+A113</f>
        <v>M5</v>
      </c>
      <c r="B121" s="47">
        <f>AVERAGE(B113:F113)</f>
        <v>26.059999999999995</v>
      </c>
      <c r="C121" s="77">
        <v>5</v>
      </c>
      <c r="D121" s="47">
        <f>AVERAGE(G113:K113)</f>
        <v>69.500000000000014</v>
      </c>
      <c r="E121" s="77">
        <v>5</v>
      </c>
      <c r="F121" s="47">
        <f>AVERAGE(L113:P113)</f>
        <v>256.2</v>
      </c>
      <c r="G121" s="77">
        <v>5</v>
      </c>
      <c r="H121" s="47">
        <f>AVERAGE(Q113:V113)</f>
        <v>543.79999999999995</v>
      </c>
      <c r="I121" s="77">
        <v>6</v>
      </c>
      <c r="J121" s="47">
        <f>AVERAGE(W113:AA113)</f>
        <v>1253.2</v>
      </c>
      <c r="K121" s="77">
        <v>5</v>
      </c>
    </row>
    <row r="122" spans="1:27" x14ac:dyDescent="0.25">
      <c r="E122" s="78"/>
      <c r="J122" s="53"/>
    </row>
    <row r="123" spans="1:27" x14ac:dyDescent="0.25">
      <c r="A123" t="s">
        <v>99</v>
      </c>
    </row>
    <row r="124" spans="1:27" x14ac:dyDescent="0.25">
      <c r="A124" s="79" t="str">
        <f>+A115</f>
        <v>Metrologo</v>
      </c>
      <c r="B124" s="863">
        <v>1</v>
      </c>
      <c r="C124" s="863"/>
      <c r="D124" s="863">
        <v>2</v>
      </c>
      <c r="E124" s="863"/>
      <c r="F124" s="863">
        <v>3</v>
      </c>
      <c r="G124" s="863"/>
      <c r="H124" s="863">
        <v>4</v>
      </c>
      <c r="I124" s="863"/>
      <c r="J124" s="863">
        <v>5</v>
      </c>
      <c r="K124" s="863"/>
    </row>
    <row r="125" spans="1:27" x14ac:dyDescent="0.25">
      <c r="A125" s="13" t="str">
        <f>+A118</f>
        <v>M1</v>
      </c>
      <c r="B125" s="80">
        <f>STDEV(B110:F110)</f>
        <v>0.32093613071762428</v>
      </c>
      <c r="C125" s="6">
        <v>5</v>
      </c>
      <c r="D125" s="80">
        <f>STDEV(G110:K110)</f>
        <v>0.21908902300206989</v>
      </c>
      <c r="E125" s="77">
        <v>5</v>
      </c>
      <c r="F125" s="80">
        <f>STDEV(L110:P110)</f>
        <v>0.44721359549995793</v>
      </c>
      <c r="G125" s="77">
        <v>5</v>
      </c>
      <c r="H125" s="80">
        <f>STDEV(Q110:V110)</f>
        <v>0.54772255750516619</v>
      </c>
      <c r="I125" s="77">
        <v>5</v>
      </c>
      <c r="J125" s="80">
        <f>STDEV(W110:AA110)</f>
        <v>2.3452078799117149</v>
      </c>
      <c r="K125" s="77">
        <v>5</v>
      </c>
      <c r="L125" s="81"/>
    </row>
    <row r="126" spans="1:27" x14ac:dyDescent="0.25">
      <c r="A126" s="13" t="str">
        <f>+A119</f>
        <v>M3</v>
      </c>
      <c r="B126" s="80">
        <f>STDEV(B111:F111)</f>
        <v>0.36469165057620895</v>
      </c>
      <c r="C126" s="6">
        <v>5</v>
      </c>
      <c r="D126" s="80">
        <f>STDEV(G111:K111)</f>
        <v>0.13038404810405155</v>
      </c>
      <c r="E126" s="77">
        <v>5</v>
      </c>
      <c r="F126" s="80">
        <f>STDEV(L111:P111)</f>
        <v>0.54772255750516607</v>
      </c>
      <c r="G126" s="77">
        <v>5</v>
      </c>
      <c r="H126" s="80">
        <f>STDEV(Q111:V111)</f>
        <v>0.44721359549995793</v>
      </c>
      <c r="I126" s="77">
        <v>5</v>
      </c>
      <c r="J126" s="80">
        <f>STDEV(W111:AA111)</f>
        <v>1.7320508075688772</v>
      </c>
      <c r="K126" s="77">
        <v>4</v>
      </c>
      <c r="L126" s="81"/>
    </row>
    <row r="127" spans="1:27" x14ac:dyDescent="0.25">
      <c r="A127" s="13" t="str">
        <f>+A120</f>
        <v>M4</v>
      </c>
      <c r="B127" s="80">
        <f>STDEV(B112:F112)</f>
        <v>0.48989794855663565</v>
      </c>
      <c r="C127" s="6">
        <v>5</v>
      </c>
      <c r="D127" s="80">
        <f>STDEV(G112:K112)</f>
        <v>0.13038404810405047</v>
      </c>
      <c r="E127" s="77">
        <v>5</v>
      </c>
      <c r="F127" s="80">
        <f>STDEV(L112:P112)</f>
        <v>0.54772255750516607</v>
      </c>
      <c r="G127" s="77">
        <v>5</v>
      </c>
      <c r="H127" s="80">
        <f>STDEV(Q112:V112)</f>
        <v>0.44721359549995793</v>
      </c>
      <c r="I127" s="77">
        <v>5</v>
      </c>
      <c r="J127" s="80">
        <f>STDEV(W112:AA112)</f>
        <v>0.89442719099991586</v>
      </c>
      <c r="K127" s="77">
        <v>5</v>
      </c>
      <c r="L127" s="81"/>
    </row>
    <row r="128" spans="1:27" x14ac:dyDescent="0.25">
      <c r="A128" s="13" t="str">
        <f>+A121</f>
        <v>M5</v>
      </c>
      <c r="B128" s="80">
        <f>STDEV(B113:F113)</f>
        <v>0.36469165057620928</v>
      </c>
      <c r="C128" s="6">
        <v>5</v>
      </c>
      <c r="D128" s="80">
        <f>STDEV(G113:K113)</f>
        <v>0.47434164902525616</v>
      </c>
      <c r="E128" s="77">
        <v>5</v>
      </c>
      <c r="F128" s="80">
        <f>STDEV(L113:P113)</f>
        <v>0.83666002653407556</v>
      </c>
      <c r="G128" s="77">
        <v>5</v>
      </c>
      <c r="H128" s="80">
        <f>STDEV(Q113:V113)</f>
        <v>1.3038404810405297</v>
      </c>
      <c r="I128" s="77">
        <v>5</v>
      </c>
      <c r="J128" s="80">
        <f>STDEV(W113:AA113)</f>
        <v>2.0493901531919194</v>
      </c>
      <c r="K128" s="77">
        <v>5</v>
      </c>
      <c r="L128" s="81"/>
    </row>
    <row r="134" spans="1:22" x14ac:dyDescent="0.25">
      <c r="R134">
        <v>0.7</v>
      </c>
      <c r="S134">
        <v>0.73</v>
      </c>
      <c r="T134">
        <v>0.71</v>
      </c>
      <c r="U134">
        <v>0.7</v>
      </c>
    </row>
    <row r="135" spans="1:22" x14ac:dyDescent="0.25">
      <c r="N135">
        <v>0.71</v>
      </c>
      <c r="O135">
        <v>0.69</v>
      </c>
      <c r="P135">
        <v>0.66</v>
      </c>
      <c r="Q135">
        <v>0.67</v>
      </c>
      <c r="R135">
        <v>0.69</v>
      </c>
      <c r="S135">
        <v>0.74</v>
      </c>
      <c r="T135">
        <v>0.71</v>
      </c>
      <c r="U135">
        <v>0.65</v>
      </c>
    </row>
    <row r="136" spans="1:22" x14ac:dyDescent="0.25">
      <c r="B136" s="873" t="s">
        <v>100</v>
      </c>
      <c r="C136" s="874"/>
      <c r="D136" s="874"/>
      <c r="E136" s="874"/>
      <c r="F136" s="874"/>
      <c r="G136" s="36"/>
      <c r="H136" s="37"/>
      <c r="I136" s="37"/>
      <c r="J136" s="37"/>
      <c r="K136" s="76"/>
      <c r="L136" s="76"/>
      <c r="N136">
        <v>0.71</v>
      </c>
      <c r="O136">
        <v>0.67</v>
      </c>
      <c r="P136">
        <v>0.65</v>
      </c>
      <c r="Q136">
        <v>0.65</v>
      </c>
      <c r="R136">
        <v>0.66</v>
      </c>
      <c r="S136">
        <v>0.73</v>
      </c>
      <c r="T136">
        <v>0.69</v>
      </c>
      <c r="U136">
        <v>0.68</v>
      </c>
    </row>
    <row r="137" spans="1:22" x14ac:dyDescent="0.25">
      <c r="B137" s="53">
        <f>(B118*C118)</f>
        <v>129.69999999999999</v>
      </c>
      <c r="C137" s="53">
        <f>(D118*E118)</f>
        <v>349.3</v>
      </c>
      <c r="D137" s="53">
        <f>(F118*G118)</f>
        <v>1279</v>
      </c>
      <c r="E137" s="53">
        <f>(H118*I118)</f>
        <v>2717</v>
      </c>
      <c r="F137" s="54">
        <f>(J118*K118)</f>
        <v>6265</v>
      </c>
      <c r="G137" s="82"/>
      <c r="H137" s="83"/>
      <c r="I137" s="32"/>
      <c r="J137" s="32"/>
      <c r="K137" s="32"/>
      <c r="L137" s="32"/>
      <c r="N137">
        <v>0.7</v>
      </c>
      <c r="O137">
        <v>0.68</v>
      </c>
      <c r="P137">
        <v>0.69</v>
      </c>
      <c r="Q137">
        <v>0.66</v>
      </c>
      <c r="R137">
        <v>0.71</v>
      </c>
    </row>
    <row r="138" spans="1:22" x14ac:dyDescent="0.25">
      <c r="B138" s="53">
        <f>(B119*C119)</f>
        <v>132.30000000000001</v>
      </c>
      <c r="C138" s="53">
        <f>(D119*E119)</f>
        <v>348.6</v>
      </c>
      <c r="D138" s="53">
        <f>(F119*G119)</f>
        <v>1278</v>
      </c>
      <c r="E138" s="53">
        <f>(H119*I119)</f>
        <v>2721</v>
      </c>
      <c r="F138" s="54">
        <f>(J119*K119)</f>
        <v>5015</v>
      </c>
      <c r="G138" s="82"/>
      <c r="H138" s="83"/>
      <c r="I138" s="32"/>
      <c r="J138" s="32"/>
      <c r="K138" s="32"/>
      <c r="L138" s="32"/>
      <c r="N138" s="81">
        <f>AVERAGE(N135:N137)</f>
        <v>0.70666666666666667</v>
      </c>
      <c r="O138" s="81">
        <f>AVERAGE(O135:O137)</f>
        <v>0.68</v>
      </c>
      <c r="P138" s="81">
        <f>AVERAGE(P135:P137)</f>
        <v>0.66666666666666663</v>
      </c>
      <c r="Q138" s="81">
        <f>AVERAGE(Q135:Q137)</f>
        <v>0.66</v>
      </c>
      <c r="R138" s="81">
        <f>AVERAGE(R134:R137)</f>
        <v>0.69</v>
      </c>
      <c r="S138" s="81">
        <f>AVERAGE(S134:S137)</f>
        <v>0.73333333333333339</v>
      </c>
      <c r="T138" s="81">
        <f>AVERAGE(T134:T137)</f>
        <v>0.70333333333333325</v>
      </c>
      <c r="U138" s="81">
        <f>AVERAGE(U134:U137)</f>
        <v>0.67666666666666675</v>
      </c>
      <c r="V138" s="81">
        <f>SUM(N138:U138)</f>
        <v>5.5166666666666666</v>
      </c>
    </row>
    <row r="139" spans="1:22" x14ac:dyDescent="0.25">
      <c r="B139" s="53">
        <f>(B120*C120)</f>
        <v>132</v>
      </c>
      <c r="C139" s="53">
        <f>(D120*E120)</f>
        <v>347.6</v>
      </c>
      <c r="D139" s="53">
        <f>(F120*G120)</f>
        <v>1277</v>
      </c>
      <c r="E139" s="53">
        <f>(H120*I120)</f>
        <v>2719</v>
      </c>
      <c r="F139" s="54">
        <f>(J120*K120)</f>
        <v>6258</v>
      </c>
      <c r="G139" s="82"/>
      <c r="H139" s="83"/>
      <c r="I139" s="32"/>
      <c r="J139" s="32"/>
      <c r="K139" s="32"/>
      <c r="L139" s="32"/>
      <c r="N139">
        <v>4</v>
      </c>
      <c r="O139">
        <v>3</v>
      </c>
      <c r="P139">
        <v>3</v>
      </c>
      <c r="Q139">
        <v>3</v>
      </c>
      <c r="R139">
        <v>5</v>
      </c>
      <c r="S139">
        <v>3</v>
      </c>
      <c r="T139">
        <v>3</v>
      </c>
      <c r="U139">
        <v>3</v>
      </c>
      <c r="V139">
        <f>SUM(N139:U139)</f>
        <v>27</v>
      </c>
    </row>
    <row r="140" spans="1:22" x14ac:dyDescent="0.25">
      <c r="B140" s="53">
        <f>(B121*C121)</f>
        <v>130.29999999999998</v>
      </c>
      <c r="C140" s="53">
        <f>(D121*E121)</f>
        <v>347.50000000000006</v>
      </c>
      <c r="D140" s="53">
        <f>(F121*G121)</f>
        <v>1281</v>
      </c>
      <c r="E140" s="53">
        <f>(H121*I121)</f>
        <v>3262.7999999999997</v>
      </c>
      <c r="F140" s="54">
        <f>(J121*K121)</f>
        <v>6266</v>
      </c>
      <c r="G140" s="84"/>
      <c r="H140" s="84"/>
      <c r="N140">
        <f>+N138*N139</f>
        <v>2.8266666666666667</v>
      </c>
      <c r="O140">
        <f t="shared" ref="O140:U140" si="12">+O138*O139</f>
        <v>2.04</v>
      </c>
      <c r="P140">
        <f t="shared" si="12"/>
        <v>2</v>
      </c>
      <c r="Q140">
        <f t="shared" si="12"/>
        <v>1.98</v>
      </c>
      <c r="R140">
        <f t="shared" si="12"/>
        <v>3.4499999999999997</v>
      </c>
      <c r="S140">
        <f t="shared" si="12"/>
        <v>2.2000000000000002</v>
      </c>
      <c r="T140">
        <f t="shared" si="12"/>
        <v>2.11</v>
      </c>
      <c r="U140">
        <f t="shared" si="12"/>
        <v>2.0300000000000002</v>
      </c>
      <c r="V140">
        <f>SUM(N140:U140)</f>
        <v>18.636666666666667</v>
      </c>
    </row>
    <row r="141" spans="1:22" x14ac:dyDescent="0.25">
      <c r="A141" s="85" t="s">
        <v>100</v>
      </c>
      <c r="B141" s="86">
        <f>SUM(B137:B140)</f>
        <v>524.29999999999995</v>
      </c>
      <c r="C141" s="86">
        <f>SUM(C137:C140)</f>
        <v>1393</v>
      </c>
      <c r="D141" s="86">
        <f>SUM(D137:D140)</f>
        <v>5115</v>
      </c>
      <c r="E141" s="86">
        <f>SUM(E137:E140)</f>
        <v>11419.8</v>
      </c>
      <c r="F141" s="86">
        <f>SUM(F137:F140)</f>
        <v>23804</v>
      </c>
      <c r="G141" s="87"/>
      <c r="H141" s="87"/>
    </row>
    <row r="142" spans="1:22" x14ac:dyDescent="0.25">
      <c r="B142" s="81"/>
      <c r="C142" s="81"/>
      <c r="D142" s="81"/>
      <c r="E142" s="81"/>
      <c r="F142" s="81"/>
      <c r="G142" s="81"/>
      <c r="H142" s="81"/>
      <c r="I142" s="81"/>
      <c r="J142" s="81"/>
      <c r="K142" s="81"/>
      <c r="L142" s="81"/>
    </row>
    <row r="143" spans="1:22" x14ac:dyDescent="0.25">
      <c r="B143" s="873" t="s">
        <v>101</v>
      </c>
      <c r="C143" s="874"/>
      <c r="D143" s="874"/>
      <c r="E143" s="874"/>
      <c r="F143" s="874"/>
      <c r="G143" s="36"/>
      <c r="H143" s="37"/>
      <c r="I143" s="37"/>
      <c r="J143" s="37"/>
      <c r="K143" s="76"/>
      <c r="L143" s="76"/>
    </row>
    <row r="144" spans="1:22" x14ac:dyDescent="0.25">
      <c r="B144" s="88">
        <f>+C118*B118^2</f>
        <v>3364.4179999999997</v>
      </c>
      <c r="C144" s="88">
        <f>+E118*D118^2</f>
        <v>24402.098000000002</v>
      </c>
      <c r="D144" s="88">
        <f>+G118*F118^2</f>
        <v>327168.2</v>
      </c>
      <c r="E144" s="88">
        <f>+I118*H118^2</f>
        <v>1476417.8</v>
      </c>
      <c r="F144" s="88">
        <f>+K118*J118^2</f>
        <v>7850045</v>
      </c>
      <c r="G144" s="52"/>
      <c r="H144" s="52"/>
    </row>
    <row r="145" spans="1:12" x14ac:dyDescent="0.25">
      <c r="B145" s="88">
        <f>+C119*B119^2</f>
        <v>3500.6580000000004</v>
      </c>
      <c r="C145" s="88">
        <f>+E119*D119^2</f>
        <v>24304.392</v>
      </c>
      <c r="D145" s="88">
        <f>+G119*F119^2</f>
        <v>326656.8</v>
      </c>
      <c r="E145" s="88">
        <f>+I119*H119^2</f>
        <v>1480768.2000000004</v>
      </c>
      <c r="F145" s="88">
        <f>+K119*J119^2</f>
        <v>6287556.25</v>
      </c>
      <c r="G145" s="52"/>
      <c r="H145" s="52"/>
    </row>
    <row r="146" spans="1:12" x14ac:dyDescent="0.25">
      <c r="B146" s="88">
        <f>+C120*B120^2</f>
        <v>3484.7999999999997</v>
      </c>
      <c r="C146" s="88">
        <f>+E120*D120^2</f>
        <v>24165.152000000009</v>
      </c>
      <c r="D146" s="88">
        <f>+G120*F120^2</f>
        <v>326145.80000000005</v>
      </c>
      <c r="E146" s="88">
        <f>+I120*H120^2</f>
        <v>1478592.1999999997</v>
      </c>
      <c r="F146" s="88">
        <f>+K120*J120^2</f>
        <v>7832512.7999999989</v>
      </c>
      <c r="G146" s="52"/>
      <c r="H146" s="52"/>
    </row>
    <row r="147" spans="1:12" x14ac:dyDescent="0.25">
      <c r="B147" s="88">
        <f>+C121*B121^2</f>
        <v>3395.617999999999</v>
      </c>
      <c r="C147" s="88">
        <f>+E121*D121^2</f>
        <v>24151.250000000007</v>
      </c>
      <c r="D147" s="88">
        <f>+G121*F121^2</f>
        <v>328192.19999999995</v>
      </c>
      <c r="E147" s="88">
        <f>+I121*H121^2</f>
        <v>1774310.6399999997</v>
      </c>
      <c r="F147" s="88">
        <f>+K121*J121^2</f>
        <v>7852551.2000000011</v>
      </c>
      <c r="G147" s="52"/>
      <c r="H147" s="52"/>
    </row>
    <row r="148" spans="1:12" x14ac:dyDescent="0.25">
      <c r="A148" s="85" t="s">
        <v>101</v>
      </c>
      <c r="B148" s="89">
        <f>SUM(B144:B147)</f>
        <v>13745.493999999999</v>
      </c>
      <c r="C148" s="89">
        <f>SUM(C144:C147)</f>
        <v>97022.892000000022</v>
      </c>
      <c r="D148" s="89">
        <f>SUM(D144:D147)</f>
        <v>1308163</v>
      </c>
      <c r="E148" s="89">
        <f>SUM(E144:E147)</f>
        <v>6210088.8399999999</v>
      </c>
      <c r="F148" s="89">
        <f>SUM(F144:F147)</f>
        <v>29822665.25</v>
      </c>
      <c r="G148" s="90"/>
      <c r="H148" s="91"/>
    </row>
    <row r="149" spans="1:12" x14ac:dyDescent="0.25">
      <c r="A149" s="85" t="s">
        <v>102</v>
      </c>
      <c r="B149" s="85">
        <f>SUM(C118:C121)</f>
        <v>20</v>
      </c>
      <c r="C149" s="85">
        <f>SUM(E118:E121)</f>
        <v>20</v>
      </c>
      <c r="D149" s="85">
        <f>SUM(G118:G121)</f>
        <v>20</v>
      </c>
      <c r="E149" s="85">
        <f>SUM(I118:I121)</f>
        <v>21</v>
      </c>
      <c r="F149" s="85">
        <f>SUM(K118:K121)</f>
        <v>19</v>
      </c>
      <c r="G149" s="92"/>
      <c r="H149" s="32"/>
    </row>
    <row r="150" spans="1:12" x14ac:dyDescent="0.25">
      <c r="A150" s="85" t="s">
        <v>103</v>
      </c>
      <c r="B150" s="85">
        <f>+SUMSQ(C118:C121)</f>
        <v>100</v>
      </c>
      <c r="C150" s="85">
        <f>+SUMSQ(E118:E121)</f>
        <v>100</v>
      </c>
      <c r="D150" s="85">
        <f>+SUMSQ(G118:G121)</f>
        <v>100</v>
      </c>
      <c r="E150" s="85">
        <f>+SUMSQ(I118:I121)</f>
        <v>111</v>
      </c>
      <c r="F150" s="93">
        <f>+SUMSQ(K118:K121)</f>
        <v>91</v>
      </c>
      <c r="G150" s="92"/>
      <c r="H150" s="32"/>
    </row>
    <row r="151" spans="1:12" s="94" customFormat="1" x14ac:dyDescent="0.25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  <c r="L151" s="32"/>
    </row>
    <row r="152" spans="1:12" s="94" customFormat="1" x14ac:dyDescent="0.25">
      <c r="A152" s="32"/>
      <c r="B152" s="875" t="s">
        <v>104</v>
      </c>
      <c r="C152" s="876"/>
      <c r="D152" s="876"/>
      <c r="E152" s="876"/>
      <c r="F152" s="877"/>
      <c r="G152" s="95"/>
      <c r="H152" s="96"/>
      <c r="I152" s="96"/>
      <c r="J152" s="96"/>
      <c r="K152" s="97"/>
      <c r="L152" s="97"/>
    </row>
    <row r="153" spans="1:12" x14ac:dyDescent="0.25">
      <c r="B153" s="88">
        <f>+(C118-1)*B125^2</f>
        <v>0.41200000000000009</v>
      </c>
      <c r="C153" s="88">
        <f>+(E118-1)*D125^2</f>
        <v>0.19200000000000605</v>
      </c>
      <c r="D153" s="88">
        <f>+(G118-1)*F125^2</f>
        <v>0.79999999999999993</v>
      </c>
      <c r="E153" s="88">
        <f>+(I118-1)*H125^2</f>
        <v>1.2000000000000004</v>
      </c>
      <c r="F153" s="88">
        <f>+(K118-1)*J125^2</f>
        <v>22</v>
      </c>
      <c r="G153" s="98"/>
      <c r="H153" s="99"/>
      <c r="I153" s="100"/>
      <c r="J153" s="100"/>
    </row>
    <row r="154" spans="1:12" x14ac:dyDescent="0.25">
      <c r="B154" s="88">
        <f>+(C119-1)*B126^2</f>
        <v>0.5319999999999987</v>
      </c>
      <c r="C154" s="88">
        <f>+(E119-1)*D126^2</f>
        <v>6.7999999999998506E-2</v>
      </c>
      <c r="D154" s="88">
        <f>+(G119-1)*F126^2</f>
        <v>1.1999999999999997</v>
      </c>
      <c r="E154" s="88">
        <f>+(I119-1)*H126^2</f>
        <v>0.79999999999999993</v>
      </c>
      <c r="F154" s="88">
        <f>+(K119-1)*J126^2</f>
        <v>8.9999999999999982</v>
      </c>
      <c r="G154" s="99"/>
      <c r="H154" s="99"/>
    </row>
    <row r="155" spans="1:12" x14ac:dyDescent="0.25">
      <c r="B155" s="88">
        <f>+(C120-1)*B127^2</f>
        <v>0.96000000000000019</v>
      </c>
      <c r="C155" s="88">
        <f>+(E120-1)*D127^2</f>
        <v>6.7999999999997382E-2</v>
      </c>
      <c r="D155" s="88">
        <f>+(G120-1)*F127^2</f>
        <v>1.1999999999999997</v>
      </c>
      <c r="E155" s="88">
        <f>+(I120-1)*H127^2</f>
        <v>0.79999999999999993</v>
      </c>
      <c r="F155" s="88">
        <f>+(K120-1)*J127^2</f>
        <v>3.1999999999999997</v>
      </c>
      <c r="G155" s="99"/>
      <c r="H155" s="99"/>
    </row>
    <row r="156" spans="1:12" x14ac:dyDescent="0.25">
      <c r="B156" s="88">
        <f>+(C121-1)*B128^2</f>
        <v>0.5319999999999997</v>
      </c>
      <c r="C156" s="88">
        <f>+(E121-1)*D128^2</f>
        <v>0.89999999999999725</v>
      </c>
      <c r="D156" s="88">
        <f>+(G121-1)*F128^2</f>
        <v>2.8000000000000003</v>
      </c>
      <c r="E156" s="88">
        <f>+(I121-1)*H128^2</f>
        <v>8.5</v>
      </c>
      <c r="F156" s="88">
        <f>+(K121-1)*J128^2</f>
        <v>16.799999999999997</v>
      </c>
      <c r="G156" s="99"/>
      <c r="H156" s="99"/>
    </row>
    <row r="157" spans="1:12" x14ac:dyDescent="0.25">
      <c r="A157" s="85" t="s">
        <v>104</v>
      </c>
      <c r="B157" s="101">
        <f>SUM(B153:B156)</f>
        <v>2.4359999999999986</v>
      </c>
      <c r="C157" s="101">
        <f>SUM(C153:C156)</f>
        <v>1.2279999999999993</v>
      </c>
      <c r="D157" s="101">
        <f>SUM(D153:D156)</f>
        <v>6</v>
      </c>
      <c r="E157" s="101">
        <f>SUM(E153:E156)</f>
        <v>11.3</v>
      </c>
      <c r="F157" s="101">
        <f>SUM(F153:F156)</f>
        <v>51</v>
      </c>
      <c r="G157" s="102"/>
      <c r="H157" s="102"/>
    </row>
    <row r="158" spans="1:12" x14ac:dyDescent="0.25">
      <c r="A158" s="85" t="s">
        <v>105</v>
      </c>
      <c r="B158" s="101">
        <f>B157/(B149-COUNT(C118:C121))</f>
        <v>0.15224999999999991</v>
      </c>
      <c r="C158" s="101">
        <f>C157/(C149-COUNT(D118:D121))</f>
        <v>7.6749999999999957E-2</v>
      </c>
      <c r="D158" s="101">
        <f>D157/(D149-COUNT(E118:E121))</f>
        <v>0.375</v>
      </c>
      <c r="E158" s="101">
        <f>E157/(E149-COUNT(F118:F121))</f>
        <v>0.66470588235294126</v>
      </c>
      <c r="F158" s="101">
        <f>F157/(F149-COUNT(G118:G121))</f>
        <v>3.4</v>
      </c>
      <c r="G158" s="102"/>
      <c r="H158" s="102"/>
    </row>
    <row r="159" spans="1:12" x14ac:dyDescent="0.25">
      <c r="A159" s="85" t="s">
        <v>106</v>
      </c>
      <c r="B159" s="101">
        <f>+((((B148*B149)-B141^2)/(B149*(COUNT(C118:C121)-1)))-B158)*((B149*(COUNT(C118:C121)-1))/(B149^2-B150))</f>
        <v>3.4183333333573949E-2</v>
      </c>
      <c r="C159" s="101">
        <f>+((((C148*C149)-C141^2)/(C149*(COUNT(E118:E121)-1)))-C158)*((C149*(COUNT(E118:E121)-1))/(C149^2-C150))</f>
        <v>1.4116666667722173E-2</v>
      </c>
      <c r="D159" s="101">
        <f>+((((D148*D149)-D141^2)/(D149*(COUNT(G118:G121)-1)))-D158)*((D149*(COUNT(G118:G121)-1))/(D149^2-D150))</f>
        <v>4.1666666666666678E-2</v>
      </c>
      <c r="E159" s="101">
        <f>+((((E148*E149)-E141^2)/(E149*(COUNT(I118:I121)-1)))-E158)*((E149*(COUNT(I118:I121)-1))/(E149^2-E150))</f>
        <v>-2.5080213831495283E-2</v>
      </c>
      <c r="F159" s="101">
        <f>+((((F148*F149)-F141^2)/(F149*(COUNT(K118:K121)-1)))-F158)*((F149*(COUNT(K118:K121)-1))/(F149^2-F150))</f>
        <v>0.11092592592592597</v>
      </c>
      <c r="G159" s="102"/>
      <c r="H159" s="102"/>
    </row>
    <row r="160" spans="1:12" x14ac:dyDescent="0.25">
      <c r="A160" s="85" t="s">
        <v>150</v>
      </c>
      <c r="B160" s="101">
        <f>SUM(B158:B159)</f>
        <v>0.18643333333357387</v>
      </c>
      <c r="C160" s="101">
        <f>SUM(C158:C159)</f>
        <v>9.0866666667722126E-2</v>
      </c>
      <c r="D160" s="101">
        <f>SUM(D158:D159)</f>
        <v>0.41666666666666669</v>
      </c>
      <c r="E160" s="101">
        <f>SUM(E158:E159)</f>
        <v>0.63962566852144598</v>
      </c>
      <c r="F160" s="101">
        <f>SUM(F158:F159)</f>
        <v>3.510925925925926</v>
      </c>
      <c r="G160" s="102"/>
      <c r="H160" s="102"/>
    </row>
    <row r="164" spans="1:17" x14ac:dyDescent="0.25">
      <c r="A164" t="s">
        <v>107</v>
      </c>
    </row>
    <row r="165" spans="1:17" x14ac:dyDescent="0.25">
      <c r="A165" s="85" t="s">
        <v>108</v>
      </c>
      <c r="B165" s="101">
        <f>((B160-(B158*(1-(1/$E$188)))))/$E$189</f>
        <v>1.1911666666714787E-2</v>
      </c>
      <c r="C165" s="101">
        <f>((C160-(C158*(1-(1/$E$188)))))/$E$189</f>
        <v>5.3816666668777659E-3</v>
      </c>
      <c r="D165" s="101">
        <f>((D160-(D158*(1-(1/$E$188)))))/$E$189</f>
        <v>2.0833333333333336E-2</v>
      </c>
      <c r="E165" s="101">
        <f>((E160-(E158*(1-(1/$E$188)))))/$E$189</f>
        <v>1.7140819978798971E-2</v>
      </c>
      <c r="F165" s="101">
        <f>((F160-(F158*(1-(1/$E$188)))))/$E$189</f>
        <v>0.13551851851851851</v>
      </c>
    </row>
    <row r="166" spans="1:17" x14ac:dyDescent="0.25">
      <c r="A166" s="104" t="s">
        <v>108</v>
      </c>
      <c r="B166" s="101">
        <f>+SQRT(SUMSQ(B165:F165))</f>
        <v>0.13879464862763882</v>
      </c>
      <c r="C166" s="103"/>
    </row>
    <row r="167" spans="1:17" x14ac:dyDescent="0.25">
      <c r="B167" s="105"/>
    </row>
    <row r="168" spans="1:17" x14ac:dyDescent="0.25">
      <c r="B168" s="12">
        <v>9.18624700516672E-2</v>
      </c>
      <c r="C168">
        <v>0.13879464862763882</v>
      </c>
    </row>
    <row r="170" spans="1:17" x14ac:dyDescent="0.25">
      <c r="B170" t="s">
        <v>149</v>
      </c>
      <c r="D170">
        <v>0.98070000000000002</v>
      </c>
    </row>
    <row r="172" spans="1:17" x14ac:dyDescent="0.25">
      <c r="M172" s="71"/>
      <c r="Q172" s="71"/>
    </row>
    <row r="173" spans="1:17" x14ac:dyDescent="0.25">
      <c r="M173" s="81"/>
      <c r="Q173" s="81"/>
    </row>
    <row r="174" spans="1:17" x14ac:dyDescent="0.25">
      <c r="M174" s="81"/>
      <c r="Q174" s="81"/>
    </row>
    <row r="175" spans="1:17" x14ac:dyDescent="0.25">
      <c r="A175" s="106" t="s">
        <v>109</v>
      </c>
      <c r="B175" s="106" t="s">
        <v>110</v>
      </c>
      <c r="C175" s="106" t="s">
        <v>111</v>
      </c>
      <c r="D175" s="106" t="s">
        <v>31</v>
      </c>
      <c r="E175" s="97"/>
      <c r="F175" s="97"/>
    </row>
    <row r="176" spans="1:17" x14ac:dyDescent="0.25">
      <c r="A176" s="77">
        <v>1</v>
      </c>
      <c r="B176" s="107">
        <f>B141/B149</f>
        <v>26.214999999999996</v>
      </c>
      <c r="C176" s="107">
        <f>SQRT(B158)</f>
        <v>0.39019226030253329</v>
      </c>
      <c r="D176" s="107">
        <f>SQRT(B160)</f>
        <v>0.43177926459427607</v>
      </c>
      <c r="E176" s="84"/>
      <c r="F176" s="84"/>
    </row>
    <row r="177" spans="1:21" x14ac:dyDescent="0.25">
      <c r="A177" s="77">
        <v>2</v>
      </c>
      <c r="B177" s="107">
        <f>C141/C149</f>
        <v>69.650000000000006</v>
      </c>
      <c r="C177" s="107">
        <f>SQRT(C158)</f>
        <v>0.27703790354390129</v>
      </c>
      <c r="D177" s="107">
        <f>SQRT(C160)</f>
        <v>0.30144098372272166</v>
      </c>
      <c r="E177" s="84"/>
      <c r="F177" s="84"/>
    </row>
    <row r="178" spans="1:21" x14ac:dyDescent="0.25">
      <c r="A178" s="77">
        <v>3</v>
      </c>
      <c r="B178" s="107">
        <f>D141/D149</f>
        <v>255.75</v>
      </c>
      <c r="C178" s="107">
        <f>SQRT(D158)</f>
        <v>0.61237243569579447</v>
      </c>
      <c r="D178" s="107">
        <f>SQRT(D160)</f>
        <v>0.6454972243679028</v>
      </c>
      <c r="E178" s="84"/>
      <c r="F178" s="84"/>
    </row>
    <row r="179" spans="1:21" x14ac:dyDescent="0.25">
      <c r="A179" s="77">
        <v>4</v>
      </c>
      <c r="B179" s="107">
        <f>E141/E149</f>
        <v>543.79999999999995</v>
      </c>
      <c r="C179" s="107">
        <f>SQRT(E158)</f>
        <v>0.8152949664709952</v>
      </c>
      <c r="D179" s="107">
        <f>SQRT(E160)</f>
        <v>0.79976600860592095</v>
      </c>
      <c r="E179" s="84"/>
      <c r="F179" s="84"/>
    </row>
    <row r="180" spans="1:21" x14ac:dyDescent="0.25">
      <c r="A180" s="77">
        <v>5</v>
      </c>
      <c r="B180" s="107">
        <f>F141/F149</f>
        <v>1252.8421052631579</v>
      </c>
      <c r="C180" s="107">
        <f>SQRT(F158)</f>
        <v>1.8439088914585775</v>
      </c>
      <c r="D180" s="107">
        <f>SQRT(F160)</f>
        <v>1.8737464945733524</v>
      </c>
      <c r="E180" s="84"/>
      <c r="F180" s="84"/>
    </row>
    <row r="183" spans="1:21" ht="15" customHeight="1" x14ac:dyDescent="0.25">
      <c r="A183" s="865" t="s">
        <v>112</v>
      </c>
      <c r="B183" s="865"/>
      <c r="C183" s="865"/>
      <c r="D183" s="865"/>
      <c r="E183" s="865"/>
      <c r="F183" s="4"/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50"/>
      <c r="T183" s="50"/>
      <c r="U183" s="50"/>
    </row>
    <row r="184" spans="1:21" x14ac:dyDescent="0.25">
      <c r="A184" s="865"/>
      <c r="B184" s="865"/>
      <c r="C184" s="865"/>
      <c r="D184" s="865"/>
      <c r="E184" s="865"/>
      <c r="F184" s="4"/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50"/>
      <c r="T184" s="50"/>
      <c r="U184" s="50"/>
    </row>
    <row r="185" spans="1:21" x14ac:dyDescent="0.25">
      <c r="A185" s="865"/>
      <c r="B185" s="865"/>
      <c r="C185" s="865"/>
      <c r="D185" s="865"/>
      <c r="E185" s="865"/>
      <c r="F185" s="4"/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50"/>
      <c r="T185" s="50"/>
      <c r="U185" s="50"/>
    </row>
    <row r="186" spans="1:21" x14ac:dyDescent="0.25">
      <c r="A186" s="865"/>
      <c r="B186" s="865"/>
      <c r="C186" s="865"/>
      <c r="D186" s="865"/>
      <c r="E186" s="865"/>
      <c r="F186" s="4"/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50"/>
      <c r="T186" s="50"/>
      <c r="U186" s="50"/>
    </row>
    <row r="188" spans="1:21" x14ac:dyDescent="0.25">
      <c r="A188" s="108" t="s">
        <v>111</v>
      </c>
      <c r="B188" s="81"/>
      <c r="C188" t="s">
        <v>83</v>
      </c>
      <c r="E188" s="12">
        <f>+C1</f>
        <v>6</v>
      </c>
    </row>
    <row r="189" spans="1:21" x14ac:dyDescent="0.25">
      <c r="A189" t="s">
        <v>113</v>
      </c>
      <c r="C189" t="s">
        <v>114</v>
      </c>
      <c r="E189" s="12">
        <f>+C2</f>
        <v>5</v>
      </c>
    </row>
    <row r="191" spans="1:21" x14ac:dyDescent="0.25">
      <c r="A191" s="5" t="s">
        <v>110</v>
      </c>
      <c r="B191" s="34">
        <f>B176</f>
        <v>26.214999999999996</v>
      </c>
      <c r="C191" s="34">
        <f>B177</f>
        <v>69.650000000000006</v>
      </c>
      <c r="D191" s="34">
        <f>B178</f>
        <v>255.75</v>
      </c>
      <c r="E191" s="34">
        <f>B179</f>
        <v>543.79999999999995</v>
      </c>
      <c r="F191" s="34">
        <f>B180</f>
        <v>1252.8421052631579</v>
      </c>
      <c r="G191" s="35"/>
      <c r="H191" s="35"/>
    </row>
    <row r="192" spans="1:21" x14ac:dyDescent="0.25">
      <c r="A192" s="5" t="s">
        <v>111</v>
      </c>
      <c r="B192" s="109">
        <f>C176</f>
        <v>0.39019226030253329</v>
      </c>
      <c r="C192" s="109">
        <f>C177</f>
        <v>0.27703790354390129</v>
      </c>
      <c r="D192" s="109">
        <f>C178</f>
        <v>0.61237243569579447</v>
      </c>
      <c r="E192" s="109">
        <f>C179</f>
        <v>0.8152949664709952</v>
      </c>
      <c r="F192" s="109">
        <f>C180</f>
        <v>1.8439088914585775</v>
      </c>
      <c r="G192" s="110"/>
      <c r="H192" s="110"/>
    </row>
    <row r="193" spans="1:12" x14ac:dyDescent="0.25">
      <c r="A193" s="5" t="s">
        <v>115</v>
      </c>
      <c r="B193" s="111">
        <f>B192/B191</f>
        <v>1.488431280955687E-2</v>
      </c>
      <c r="C193" s="111">
        <f>C192/C191</f>
        <v>3.9775721973280874E-3</v>
      </c>
      <c r="D193" s="111">
        <f>D192/D191</f>
        <v>2.3944181258877596E-3</v>
      </c>
      <c r="E193" s="111">
        <f>E192/E191</f>
        <v>1.499255179240521E-3</v>
      </c>
      <c r="F193" s="111">
        <f>F192/F191</f>
        <v>1.471780748517601E-3</v>
      </c>
      <c r="G193" s="112"/>
      <c r="H193" s="112"/>
    </row>
    <row r="194" spans="1:12" x14ac:dyDescent="0.25">
      <c r="A194" s="5" t="s">
        <v>116</v>
      </c>
      <c r="B194" s="878">
        <f>SUM(B192:F192/E189)</f>
        <v>7.8038452060506663E-2</v>
      </c>
      <c r="C194" s="879"/>
      <c r="D194" s="879"/>
      <c r="E194" s="879"/>
      <c r="F194" s="880"/>
      <c r="G194" s="113"/>
      <c r="H194" s="114"/>
      <c r="I194" s="114"/>
      <c r="J194" s="114"/>
      <c r="K194" s="115"/>
      <c r="L194" s="115"/>
    </row>
    <row r="195" spans="1:12" x14ac:dyDescent="0.25">
      <c r="A195" s="116" t="s">
        <v>147</v>
      </c>
      <c r="B195" s="111">
        <f>$B$194*B191</f>
        <v>2.045778020766182</v>
      </c>
      <c r="C195" s="111">
        <f>$B$194*C191</f>
        <v>5.4353781860142893</v>
      </c>
      <c r="D195" s="111">
        <f>$B$194*D191</f>
        <v>19.958334114474578</v>
      </c>
      <c r="E195" s="111">
        <f>$B$194*E191</f>
        <v>42.43731023050352</v>
      </c>
      <c r="F195" s="111">
        <f>$B$194*F191</f>
        <v>97.769858570963194</v>
      </c>
      <c r="G195" s="110"/>
      <c r="H195" s="110"/>
    </row>
    <row r="202" spans="1:12" ht="18.75" x14ac:dyDescent="0.3">
      <c r="A202" s="117"/>
      <c r="B202" s="118" t="s">
        <v>117</v>
      </c>
      <c r="C202" s="117"/>
      <c r="D202" s="119"/>
      <c r="E202" s="120"/>
      <c r="F202" s="120"/>
      <c r="G202" s="121"/>
      <c r="H202" s="122"/>
    </row>
    <row r="203" spans="1:12" ht="18" x14ac:dyDescent="0.25">
      <c r="A203" s="123"/>
      <c r="B203" s="123"/>
      <c r="C203" s="123"/>
      <c r="D203" s="124"/>
      <c r="E203" s="124"/>
      <c r="F203" s="125"/>
      <c r="G203" s="122"/>
    </row>
    <row r="204" spans="1:12" ht="18" x14ac:dyDescent="0.25">
      <c r="A204" s="123"/>
      <c r="B204" s="123"/>
      <c r="C204" s="123"/>
      <c r="D204" s="124"/>
      <c r="E204" s="124"/>
      <c r="F204" s="124"/>
      <c r="G204" s="126"/>
    </row>
    <row r="205" spans="1:12" x14ac:dyDescent="0.25">
      <c r="A205" s="123"/>
      <c r="B205" s="123"/>
      <c r="C205" s="123"/>
      <c r="D205" s="123" t="s">
        <v>118</v>
      </c>
      <c r="E205" s="123"/>
      <c r="F205" s="123"/>
      <c r="G205" s="127"/>
    </row>
    <row r="206" spans="1:12" ht="15.75" thickBot="1" x14ac:dyDescent="0.3">
      <c r="A206" s="127"/>
      <c r="B206" s="127"/>
      <c r="C206" s="127"/>
      <c r="D206" s="127"/>
      <c r="E206" s="127"/>
      <c r="F206" s="127"/>
      <c r="G206" s="127"/>
    </row>
    <row r="207" spans="1:12" x14ac:dyDescent="0.25">
      <c r="A207" s="119"/>
      <c r="B207" s="119"/>
      <c r="C207" s="119"/>
      <c r="D207" s="119"/>
      <c r="E207" s="119"/>
      <c r="F207" s="119"/>
      <c r="G207" s="119"/>
      <c r="I207" s="1"/>
      <c r="J207" s="1"/>
      <c r="K207" s="1"/>
      <c r="L207" s="1"/>
    </row>
    <row r="208" spans="1:12" ht="15.75" thickBot="1" x14ac:dyDescent="0.3">
      <c r="A208" s="127"/>
      <c r="B208" s="127" t="s">
        <v>119</v>
      </c>
      <c r="C208" s="127"/>
      <c r="D208" s="127"/>
      <c r="E208" s="127"/>
      <c r="F208" s="127"/>
      <c r="G208" s="127"/>
      <c r="I208" s="2"/>
      <c r="J208" s="2"/>
      <c r="K208" s="2"/>
      <c r="L208" s="2"/>
    </row>
    <row r="209" spans="1:16" ht="15.75" thickTop="1" x14ac:dyDescent="0.25">
      <c r="A209" s="127"/>
      <c r="B209" s="881" t="s">
        <v>120</v>
      </c>
      <c r="C209" s="882"/>
      <c r="D209" s="883"/>
      <c r="E209" s="128" t="s">
        <v>121</v>
      </c>
      <c r="F209" s="128">
        <f>ABS(F210)*SQRT(F212-2)/SQRT(1-F211)</f>
        <v>10.358287389673004</v>
      </c>
      <c r="G209" s="129"/>
      <c r="I209" s="2"/>
      <c r="J209" s="2"/>
      <c r="K209" s="2"/>
      <c r="L209" s="2"/>
    </row>
    <row r="210" spans="1:16" ht="15.75" thickBot="1" x14ac:dyDescent="0.3">
      <c r="A210" s="127"/>
      <c r="B210" s="887"/>
      <c r="C210" s="888"/>
      <c r="D210" s="889"/>
      <c r="E210" s="130" t="s">
        <v>122</v>
      </c>
      <c r="F210" s="130">
        <f>SQRT(F211)</f>
        <v>0.98630624047503623</v>
      </c>
      <c r="G210" s="129"/>
      <c r="I210" s="3"/>
      <c r="J210" s="3"/>
      <c r="K210" s="3"/>
      <c r="L210" s="3"/>
    </row>
    <row r="211" spans="1:16" x14ac:dyDescent="0.25">
      <c r="A211" s="127"/>
      <c r="B211" s="887" t="s">
        <v>123</v>
      </c>
      <c r="C211" s="888"/>
      <c r="D211" s="889"/>
      <c r="E211" s="130" t="s">
        <v>124</v>
      </c>
      <c r="F211" s="130">
        <v>0.9728</v>
      </c>
      <c r="G211" s="129"/>
    </row>
    <row r="212" spans="1:16" x14ac:dyDescent="0.25">
      <c r="A212" s="119"/>
      <c r="B212" s="887" t="s">
        <v>125</v>
      </c>
      <c r="C212" s="888"/>
      <c r="D212" s="889"/>
      <c r="E212" s="130" t="s">
        <v>45</v>
      </c>
      <c r="F212" s="131">
        <f>+E189</f>
        <v>5</v>
      </c>
      <c r="G212" s="129"/>
    </row>
    <row r="213" spans="1:16" x14ac:dyDescent="0.25">
      <c r="A213" s="127"/>
      <c r="B213" s="890" t="s">
        <v>126</v>
      </c>
      <c r="C213" s="891"/>
      <c r="D213" s="892"/>
      <c r="E213" s="871" t="s">
        <v>127</v>
      </c>
      <c r="F213" s="871">
        <f>TINV(0.05,(F212-1))</f>
        <v>2.7764451051977934</v>
      </c>
      <c r="G213" s="129"/>
    </row>
    <row r="214" spans="1:16" x14ac:dyDescent="0.25">
      <c r="A214" s="127"/>
      <c r="B214" s="893"/>
      <c r="C214" s="894"/>
      <c r="D214" s="895"/>
      <c r="E214" s="872"/>
      <c r="F214" s="872"/>
      <c r="G214" s="129"/>
    </row>
    <row r="215" spans="1:16" ht="15.75" thickBot="1" x14ac:dyDescent="0.3">
      <c r="A215" s="117"/>
      <c r="B215" s="896" t="s">
        <v>128</v>
      </c>
      <c r="C215" s="897"/>
      <c r="D215" s="898"/>
      <c r="E215" s="132" t="s">
        <v>129</v>
      </c>
      <c r="F215" s="133" t="str">
        <f>IF(F209&gt;F213,"Satisfactorio","N Satisfcatorio")</f>
        <v>Satisfactorio</v>
      </c>
      <c r="G215" s="129"/>
    </row>
    <row r="216" spans="1:16" ht="16.5" thickTop="1" x14ac:dyDescent="0.25">
      <c r="A216" s="117"/>
      <c r="B216" s="122"/>
      <c r="C216" s="117"/>
      <c r="D216" s="134"/>
      <c r="E216" s="117"/>
      <c r="F216" s="117"/>
      <c r="G216" s="117"/>
    </row>
    <row r="217" spans="1:16" ht="15.75" x14ac:dyDescent="0.25">
      <c r="A217" s="117"/>
      <c r="B217" s="117"/>
      <c r="C217" s="118" t="s">
        <v>130</v>
      </c>
      <c r="D217" s="122"/>
      <c r="E217" s="117"/>
      <c r="F217" s="122"/>
      <c r="G217" s="117"/>
      <c r="H217" s="117"/>
      <c r="I217" s="117"/>
      <c r="J217" s="117"/>
      <c r="K217" s="117"/>
      <c r="L217" s="117"/>
      <c r="M217" s="117"/>
      <c r="N217" s="117"/>
      <c r="O217" s="117"/>
      <c r="P217" s="117"/>
    </row>
    <row r="218" spans="1:16" x14ac:dyDescent="0.25">
      <c r="A218" s="117"/>
      <c r="B218" s="117" t="s">
        <v>131</v>
      </c>
      <c r="C218" s="117" t="s">
        <v>132</v>
      </c>
      <c r="D218" s="117"/>
      <c r="F218" s="117"/>
      <c r="G218" s="117"/>
      <c r="I218" s="117"/>
      <c r="J218" s="117"/>
      <c r="K218" s="117"/>
    </row>
    <row r="219" spans="1:16" ht="15.75" x14ac:dyDescent="0.25">
      <c r="A219" s="117"/>
      <c r="B219" s="134" t="s">
        <v>133</v>
      </c>
      <c r="C219" s="117"/>
      <c r="D219" s="117"/>
      <c r="E219" s="117"/>
      <c r="F219" s="117"/>
      <c r="G219" s="117"/>
      <c r="I219" s="117"/>
      <c r="J219" s="117"/>
      <c r="K219" s="117"/>
    </row>
    <row r="220" spans="1:16" ht="15.75" x14ac:dyDescent="0.25">
      <c r="A220" s="117"/>
      <c r="B220" s="899" t="s">
        <v>134</v>
      </c>
      <c r="C220" s="900"/>
      <c r="D220" s="899" t="s">
        <v>135</v>
      </c>
      <c r="E220" s="900"/>
      <c r="F220" s="134"/>
      <c r="G220" s="134"/>
      <c r="H220" s="117"/>
      <c r="I220" s="117"/>
      <c r="J220" s="117"/>
      <c r="K220" s="117"/>
      <c r="L220" s="117"/>
      <c r="M220" s="117"/>
      <c r="N220" s="117"/>
      <c r="O220" s="117"/>
      <c r="P220" s="117"/>
    </row>
    <row r="221" spans="1:16" ht="15.75" x14ac:dyDescent="0.25">
      <c r="A221" s="117"/>
      <c r="B221" s="899" t="s">
        <v>136</v>
      </c>
      <c r="C221" s="901"/>
      <c r="D221" s="901"/>
      <c r="E221" s="900"/>
      <c r="F221" s="135">
        <f>+C1</f>
        <v>6</v>
      </c>
      <c r="G221" s="134"/>
      <c r="H221" s="117"/>
      <c r="I221" s="117"/>
      <c r="J221" s="117"/>
      <c r="K221" s="117"/>
      <c r="L221" s="117"/>
      <c r="O221" s="117"/>
      <c r="P221" s="117"/>
    </row>
    <row r="222" spans="1:16" ht="15.75" x14ac:dyDescent="0.25">
      <c r="A222" s="117"/>
      <c r="B222" s="130" t="s">
        <v>137</v>
      </c>
      <c r="C222" s="902">
        <f>+F221</f>
        <v>6</v>
      </c>
      <c r="D222" s="903"/>
      <c r="E222" s="904"/>
      <c r="F222" s="122"/>
      <c r="G222" s="134"/>
      <c r="H222" s="117"/>
      <c r="I222" s="117"/>
      <c r="J222" s="117"/>
      <c r="K222" s="117"/>
      <c r="L222" s="117"/>
      <c r="O222" s="117"/>
      <c r="P222" s="117"/>
    </row>
    <row r="223" spans="1:16" ht="15.75" x14ac:dyDescent="0.25">
      <c r="A223" s="117"/>
      <c r="B223" s="130" t="s">
        <v>46</v>
      </c>
      <c r="C223" s="884">
        <f>TINV(0.05,C222-1)*SQRT(2)</f>
        <v>3.6353516951468032</v>
      </c>
      <c r="D223" s="885"/>
      <c r="E223" s="886"/>
      <c r="F223" s="122"/>
      <c r="G223" s="134"/>
      <c r="H223" s="117"/>
      <c r="I223" s="117"/>
      <c r="J223" s="117"/>
      <c r="K223" s="117"/>
      <c r="L223" s="117"/>
      <c r="O223" s="117"/>
      <c r="P223" s="117"/>
    </row>
    <row r="224" spans="1:16" ht="15.75" x14ac:dyDescent="0.25">
      <c r="A224" s="117"/>
      <c r="B224" s="130" t="s">
        <v>46</v>
      </c>
      <c r="C224" s="130">
        <f>+C223</f>
        <v>3.6353516951468032</v>
      </c>
      <c r="D224" s="906" t="s">
        <v>111</v>
      </c>
      <c r="E224" s="907"/>
      <c r="F224" s="122"/>
      <c r="G224" s="134"/>
      <c r="H224" s="117"/>
      <c r="I224" s="117"/>
      <c r="J224" s="117"/>
      <c r="K224" s="117"/>
      <c r="L224" s="117"/>
      <c r="M224" s="117"/>
      <c r="N224" s="117"/>
      <c r="O224" s="117"/>
      <c r="P224" s="117"/>
    </row>
    <row r="225" spans="1:16" ht="15.75" x14ac:dyDescent="0.25">
      <c r="A225" s="117"/>
      <c r="B225" s="134" t="s">
        <v>138</v>
      </c>
      <c r="C225" s="117"/>
      <c r="D225" s="122"/>
      <c r="E225" s="117"/>
      <c r="F225" s="122"/>
      <c r="G225" s="134"/>
      <c r="H225" s="117"/>
      <c r="I225" s="117"/>
      <c r="J225" s="117"/>
      <c r="K225" s="117"/>
      <c r="L225" s="117"/>
      <c r="M225" s="117"/>
      <c r="N225" s="117"/>
      <c r="O225" s="117"/>
      <c r="P225" s="117"/>
    </row>
    <row r="226" spans="1:16" ht="15.75" x14ac:dyDescent="0.25">
      <c r="A226" s="117"/>
      <c r="B226" s="908" t="s">
        <v>139</v>
      </c>
      <c r="C226" s="908"/>
      <c r="D226" s="908"/>
      <c r="E226" s="117"/>
      <c r="F226" s="134"/>
      <c r="G226" s="134"/>
      <c r="H226" s="136"/>
      <c r="I226" s="117"/>
      <c r="J226" s="117"/>
      <c r="K226" s="117"/>
      <c r="L226" s="117"/>
      <c r="M226" s="117"/>
      <c r="N226" s="117"/>
      <c r="O226" s="117"/>
      <c r="P226" s="117"/>
    </row>
    <row r="227" spans="1:16" ht="15.75" x14ac:dyDescent="0.25">
      <c r="A227" s="117"/>
      <c r="B227" s="137" t="s">
        <v>140</v>
      </c>
      <c r="C227" s="909">
        <f>+W10</f>
        <v>1253</v>
      </c>
      <c r="D227" s="909"/>
      <c r="G227" s="134"/>
      <c r="H227" s="138"/>
      <c r="I227" s="117"/>
      <c r="J227" s="117"/>
      <c r="K227" s="117"/>
      <c r="L227" s="117"/>
      <c r="M227" s="117"/>
      <c r="N227" s="117"/>
      <c r="O227" s="117"/>
      <c r="P227" s="117"/>
    </row>
    <row r="228" spans="1:16" ht="15.75" x14ac:dyDescent="0.25">
      <c r="A228" s="117"/>
      <c r="B228" s="137" t="s">
        <v>141</v>
      </c>
      <c r="C228" s="909">
        <f>+F24</f>
        <v>1251.5999999999999</v>
      </c>
      <c r="D228" s="909"/>
      <c r="G228" s="134"/>
      <c r="H228" s="122"/>
      <c r="I228" s="117"/>
      <c r="J228" s="117"/>
      <c r="K228" s="117"/>
      <c r="L228" s="117"/>
      <c r="M228" s="117"/>
      <c r="N228" s="117"/>
      <c r="O228" s="117"/>
      <c r="P228" s="117"/>
    </row>
    <row r="229" spans="1:16" ht="15.75" x14ac:dyDescent="0.25">
      <c r="A229" s="117"/>
      <c r="B229" s="137" t="s">
        <v>142</v>
      </c>
      <c r="C229" s="910">
        <f>ABS(C227-C228)</f>
        <v>1.4000000000000909</v>
      </c>
      <c r="D229" s="910"/>
      <c r="G229" s="134"/>
      <c r="H229" s="139"/>
      <c r="I229" s="117"/>
      <c r="J229" s="117"/>
      <c r="K229" s="117"/>
      <c r="L229" s="117"/>
      <c r="M229" s="117"/>
      <c r="N229" s="117"/>
      <c r="O229" s="117"/>
      <c r="P229" s="117"/>
    </row>
    <row r="230" spans="1:16" ht="15.75" x14ac:dyDescent="0.25">
      <c r="A230" s="117"/>
      <c r="B230" s="137" t="s">
        <v>122</v>
      </c>
      <c r="C230" s="910">
        <f>C224*(0.0012*AVERAGE(C227:C228)+0.2959)</f>
        <v>6.5387616799927493</v>
      </c>
      <c r="D230" s="910"/>
      <c r="G230" s="117"/>
      <c r="H230" s="117"/>
      <c r="I230" s="117"/>
      <c r="J230" s="117"/>
      <c r="K230" s="117"/>
      <c r="L230" s="117"/>
      <c r="M230" s="117"/>
      <c r="N230" s="117"/>
      <c r="O230" s="117"/>
      <c r="P230" s="117"/>
    </row>
    <row r="231" spans="1:16" x14ac:dyDescent="0.25">
      <c r="A231" s="117"/>
      <c r="B231" s="137" t="s">
        <v>143</v>
      </c>
      <c r="C231" s="905" t="str">
        <f>IF(C229&lt;C230,"Satisfactorio","N Satisfcatorio")</f>
        <v>Satisfactorio</v>
      </c>
      <c r="D231" s="905"/>
      <c r="G231" s="117"/>
      <c r="H231" s="117"/>
      <c r="I231" s="117"/>
      <c r="J231" s="117"/>
      <c r="K231" s="117"/>
      <c r="L231" s="117"/>
      <c r="M231" s="117"/>
      <c r="N231" s="117"/>
      <c r="O231" s="117"/>
      <c r="P231" s="117"/>
    </row>
  </sheetData>
  <mergeCells count="56">
    <mergeCell ref="C231:D231"/>
    <mergeCell ref="D224:E224"/>
    <mergeCell ref="B226:D226"/>
    <mergeCell ref="C227:D227"/>
    <mergeCell ref="C228:D228"/>
    <mergeCell ref="C229:D229"/>
    <mergeCell ref="C230:D230"/>
    <mergeCell ref="C223:E223"/>
    <mergeCell ref="B210:D210"/>
    <mergeCell ref="B211:D211"/>
    <mergeCell ref="B212:D212"/>
    <mergeCell ref="B213:D214"/>
    <mergeCell ref="E213:E214"/>
    <mergeCell ref="B215:D215"/>
    <mergeCell ref="B220:C220"/>
    <mergeCell ref="D220:E220"/>
    <mergeCell ref="B221:E221"/>
    <mergeCell ref="C222:E222"/>
    <mergeCell ref="F213:F214"/>
    <mergeCell ref="B136:F136"/>
    <mergeCell ref="B143:F143"/>
    <mergeCell ref="B152:F152"/>
    <mergeCell ref="A183:E186"/>
    <mergeCell ref="B194:F194"/>
    <mergeCell ref="B209:D209"/>
    <mergeCell ref="B124:C124"/>
    <mergeCell ref="D124:E124"/>
    <mergeCell ref="F124:G124"/>
    <mergeCell ref="H124:I124"/>
    <mergeCell ref="J124:K124"/>
    <mergeCell ref="F115:G115"/>
    <mergeCell ref="H115:I115"/>
    <mergeCell ref="J115:K115"/>
    <mergeCell ref="L115:O115"/>
    <mergeCell ref="P115:S115"/>
    <mergeCell ref="A90:B90"/>
    <mergeCell ref="A108:A109"/>
    <mergeCell ref="A115:A117"/>
    <mergeCell ref="B115:C115"/>
    <mergeCell ref="D115:E115"/>
    <mergeCell ref="J44:M44"/>
    <mergeCell ref="A51:B51"/>
    <mergeCell ref="A66:R69"/>
    <mergeCell ref="A82:A83"/>
    <mergeCell ref="J82:K82"/>
    <mergeCell ref="A7:A8"/>
    <mergeCell ref="A73:A74"/>
    <mergeCell ref="B73:F73"/>
    <mergeCell ref="A20:A21"/>
    <mergeCell ref="B20:F20"/>
    <mergeCell ref="A27:A28"/>
    <mergeCell ref="B27:F27"/>
    <mergeCell ref="B37:F37"/>
    <mergeCell ref="B40:F40"/>
    <mergeCell ref="A44:A45"/>
    <mergeCell ref="B44:F44"/>
  </mergeCells>
  <pageMargins left="0.7" right="0.7" top="0.75" bottom="0.75" header="0.3" footer="0.3"/>
  <pageSetup orientation="portrait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PESAS RT0 F25</vt:lpstr>
      <vt:lpstr>H. ESTADÍSTICAS</vt:lpstr>
      <vt:lpstr>Prueba de AD</vt:lpstr>
      <vt:lpstr>Teoria AD</vt:lpstr>
      <vt:lpstr>Datos</vt:lpstr>
      <vt:lpstr>HYK </vt:lpstr>
      <vt:lpstr>'PESAS RT0 F25'!Área_de_impresión</vt:lpstr>
      <vt:lpstr>'Prueba de AD'!Área_de_impresión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 de Windows</dc:creator>
  <cp:lastModifiedBy>PERSONAL</cp:lastModifiedBy>
  <cp:lastPrinted>2019-11-07T11:45:46Z</cp:lastPrinted>
  <dcterms:created xsi:type="dcterms:W3CDTF">2017-08-29T19:34:01Z</dcterms:created>
  <dcterms:modified xsi:type="dcterms:W3CDTF">2021-05-25T03:07:08Z</dcterms:modified>
</cp:coreProperties>
</file>